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ocuments\Financijski plan\2026-2028\"/>
    </mc:Choice>
  </mc:AlternateContent>
  <xr:revisionPtr revIDLastSave="0" documentId="13_ncr:1_{6E0FCD7D-BF07-40FD-A74D-68A9AD566203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PREDLOŽAK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8" i="7" l="1"/>
  <c r="C92" i="7"/>
  <c r="C91" i="7"/>
  <c r="D91" i="7"/>
  <c r="D92" i="7"/>
  <c r="D98" i="7"/>
  <c r="H134" i="7" l="1"/>
  <c r="H143" i="7"/>
  <c r="H124" i="7"/>
  <c r="H112" i="7"/>
  <c r="H100" i="7"/>
  <c r="H88" i="7"/>
  <c r="H75" i="7"/>
  <c r="H62" i="7"/>
  <c r="H52" i="7"/>
  <c r="H42" i="7"/>
  <c r="H29" i="7"/>
  <c r="H18" i="7"/>
  <c r="G103" i="7"/>
  <c r="F103" i="7"/>
  <c r="F102" i="7"/>
  <c r="E115" i="7"/>
  <c r="E114" i="7"/>
  <c r="H16" i="7" l="1"/>
  <c r="E103" i="7" l="1"/>
  <c r="G150" i="7"/>
  <c r="F150" i="7"/>
  <c r="D150" i="7"/>
  <c r="C150" i="7"/>
  <c r="G144" i="7"/>
  <c r="F144" i="7"/>
  <c r="D144" i="7"/>
  <c r="C144" i="7"/>
  <c r="C143" i="7" s="1"/>
  <c r="G143" i="7"/>
  <c r="F143" i="7"/>
  <c r="D143" i="7"/>
  <c r="G141" i="7"/>
  <c r="G134" i="7" s="1"/>
  <c r="F141" i="7"/>
  <c r="D141" i="7"/>
  <c r="C141" i="7"/>
  <c r="G135" i="7"/>
  <c r="F135" i="7"/>
  <c r="D135" i="7"/>
  <c r="C135" i="7"/>
  <c r="F134" i="7"/>
  <c r="D134" i="7"/>
  <c r="C134" i="7"/>
  <c r="E141" i="7"/>
  <c r="E135" i="7"/>
  <c r="E150" i="7"/>
  <c r="E144" i="7"/>
  <c r="E143" i="7" s="1"/>
  <c r="E102" i="7"/>
  <c r="C133" i="7" l="1"/>
  <c r="G133" i="7"/>
  <c r="D133" i="7"/>
  <c r="F133" i="7"/>
  <c r="E134" i="7"/>
  <c r="E133" i="7" s="1"/>
  <c r="D59" i="7" l="1"/>
  <c r="D90" i="7"/>
  <c r="D127" i="7"/>
  <c r="D51" i="7"/>
  <c r="D45" i="7"/>
  <c r="D21" i="7" l="1"/>
  <c r="D27" i="7"/>
  <c r="D23" i="7"/>
  <c r="D22" i="7"/>
  <c r="D20" i="7"/>
  <c r="D19" i="7" s="1"/>
  <c r="D9" i="7" l="1"/>
  <c r="D5" i="7"/>
  <c r="D4" i="7"/>
  <c r="G59" i="7" l="1"/>
  <c r="F59" i="7"/>
  <c r="G101" i="7"/>
  <c r="G3" i="7"/>
  <c r="F3" i="7"/>
  <c r="D3" i="7"/>
  <c r="C3" i="7"/>
  <c r="G37" i="7"/>
  <c r="F37" i="7"/>
  <c r="E37" i="7"/>
  <c r="D37" i="7"/>
  <c r="C37" i="7"/>
  <c r="G30" i="7"/>
  <c r="F30" i="7"/>
  <c r="E30" i="7"/>
  <c r="D30" i="7"/>
  <c r="C30" i="7"/>
  <c r="G120" i="7"/>
  <c r="F120" i="7"/>
  <c r="E120" i="7"/>
  <c r="D120" i="7"/>
  <c r="C120" i="7"/>
  <c r="G113" i="7"/>
  <c r="F113" i="7"/>
  <c r="E113" i="7"/>
  <c r="D113" i="7"/>
  <c r="C113" i="7"/>
  <c r="G108" i="7"/>
  <c r="F108" i="7"/>
  <c r="E108" i="7"/>
  <c r="D108" i="7"/>
  <c r="C108" i="7"/>
  <c r="D101" i="7"/>
  <c r="C101" i="7"/>
  <c r="G71" i="7"/>
  <c r="F71" i="7"/>
  <c r="E71" i="7"/>
  <c r="D71" i="7"/>
  <c r="C71" i="7"/>
  <c r="E63" i="7"/>
  <c r="G63" i="7"/>
  <c r="F63" i="7"/>
  <c r="D63" i="7"/>
  <c r="C63" i="7"/>
  <c r="E101" i="7" l="1"/>
  <c r="E100" i="7" s="1"/>
  <c r="F101" i="7"/>
  <c r="F100" i="7" s="1"/>
  <c r="C29" i="7"/>
  <c r="F29" i="7"/>
  <c r="D29" i="7"/>
  <c r="E29" i="7"/>
  <c r="G29" i="7"/>
  <c r="F112" i="7"/>
  <c r="G112" i="7"/>
  <c r="C112" i="7"/>
  <c r="E112" i="7"/>
  <c r="D112" i="7"/>
  <c r="D100" i="7"/>
  <c r="G100" i="7"/>
  <c r="C100" i="7"/>
  <c r="G62" i="7"/>
  <c r="C62" i="7"/>
  <c r="D62" i="7"/>
  <c r="E62" i="7"/>
  <c r="F62" i="7"/>
  <c r="G21" i="7"/>
  <c r="F21" i="7"/>
  <c r="G27" i="7"/>
  <c r="F27" i="7"/>
  <c r="G22" i="7"/>
  <c r="F22" i="7"/>
  <c r="G23" i="7"/>
  <c r="F23" i="7"/>
  <c r="G20" i="7"/>
  <c r="F20" i="7"/>
  <c r="E59" i="7"/>
  <c r="E21" i="7"/>
  <c r="E27" i="7"/>
  <c r="E23" i="7"/>
  <c r="E22" i="7"/>
  <c r="E6" i="7"/>
  <c r="E5" i="7"/>
  <c r="G53" i="7"/>
  <c r="F53" i="7"/>
  <c r="E53" i="7"/>
  <c r="D53" i="7"/>
  <c r="G19" i="7" l="1"/>
  <c r="F19" i="7"/>
  <c r="E3" i="7"/>
  <c r="H7" i="7" l="1"/>
  <c r="H12" i="7"/>
  <c r="H10" i="7"/>
  <c r="H5" i="7"/>
  <c r="H9" i="7"/>
  <c r="H8" i="7"/>
  <c r="H6" i="7"/>
  <c r="H4" i="7"/>
  <c r="H11" i="7"/>
  <c r="G84" i="7"/>
  <c r="F84" i="7"/>
  <c r="E84" i="7"/>
  <c r="D84" i="7"/>
  <c r="C84" i="7"/>
  <c r="G129" i="7"/>
  <c r="F129" i="7"/>
  <c r="E129" i="7"/>
  <c r="D129" i="7"/>
  <c r="G125" i="7"/>
  <c r="G124" i="7" s="1"/>
  <c r="F125" i="7"/>
  <c r="E125" i="7"/>
  <c r="D125" i="7"/>
  <c r="G96" i="7"/>
  <c r="F96" i="7"/>
  <c r="E96" i="7"/>
  <c r="D96" i="7"/>
  <c r="G89" i="7"/>
  <c r="F89" i="7"/>
  <c r="E89" i="7"/>
  <c r="D89" i="7"/>
  <c r="G76" i="7"/>
  <c r="F76" i="7"/>
  <c r="E76" i="7"/>
  <c r="D76" i="7"/>
  <c r="G49" i="7"/>
  <c r="F49" i="7"/>
  <c r="E49" i="7"/>
  <c r="D49" i="7"/>
  <c r="G43" i="7"/>
  <c r="E43" i="7"/>
  <c r="F43" i="7"/>
  <c r="D43" i="7"/>
  <c r="G25" i="7"/>
  <c r="G18" i="7" s="1"/>
  <c r="G17" i="7" s="1"/>
  <c r="F25" i="7"/>
  <c r="F18" i="7" s="1"/>
  <c r="F17" i="7" s="1"/>
  <c r="E25" i="7"/>
  <c r="D25" i="7"/>
  <c r="D18" i="7" s="1"/>
  <c r="D17" i="7" s="1"/>
  <c r="E19" i="7"/>
  <c r="C55" i="7"/>
  <c r="C61" i="7"/>
  <c r="C129" i="7"/>
  <c r="C125" i="7"/>
  <c r="C60" i="7"/>
  <c r="C56" i="7"/>
  <c r="C96" i="7"/>
  <c r="C89" i="7"/>
  <c r="C76" i="7"/>
  <c r="C75" i="7" s="1"/>
  <c r="C51" i="7"/>
  <c r="C50" i="7"/>
  <c r="C48" i="7"/>
  <c r="C47" i="7"/>
  <c r="C46" i="7"/>
  <c r="C45" i="7"/>
  <c r="C44" i="7"/>
  <c r="C21" i="7"/>
  <c r="C27" i="7"/>
  <c r="C25" i="7" s="1"/>
  <c r="C22" i="7"/>
  <c r="C20" i="7"/>
  <c r="C19" i="7" s="1"/>
  <c r="C18" i="7" s="1"/>
  <c r="C17" i="7" s="1"/>
  <c r="H3" i="7" l="1"/>
  <c r="G75" i="7"/>
  <c r="G88" i="7"/>
  <c r="F75" i="7"/>
  <c r="E88" i="7"/>
  <c r="E42" i="7"/>
  <c r="F88" i="7"/>
  <c r="C49" i="7"/>
  <c r="D75" i="7"/>
  <c r="D52" i="7" s="1"/>
  <c r="E75" i="7"/>
  <c r="C43" i="7"/>
  <c r="C53" i="7"/>
  <c r="C124" i="7"/>
  <c r="D124" i="7"/>
  <c r="E124" i="7"/>
  <c r="F124" i="7"/>
  <c r="D88" i="7"/>
  <c r="F52" i="7"/>
  <c r="D42" i="7"/>
  <c r="F42" i="7"/>
  <c r="G42" i="7"/>
  <c r="E18" i="7"/>
  <c r="E17" i="7" s="1"/>
  <c r="G52" i="7"/>
  <c r="E52" i="7"/>
  <c r="C59" i="7"/>
  <c r="C52" i="7" s="1"/>
  <c r="C88" i="7"/>
  <c r="F41" i="7" l="1"/>
  <c r="F16" i="7" s="1"/>
  <c r="G41" i="7"/>
  <c r="G16" i="7" s="1"/>
  <c r="C42" i="7"/>
  <c r="E41" i="7"/>
  <c r="E16" i="7" s="1"/>
  <c r="C41" i="7"/>
  <c r="C16" i="7" s="1"/>
  <c r="D41" i="7"/>
  <c r="D16" i="7" s="1"/>
</calcChain>
</file>

<file path=xl/sharedStrings.xml><?xml version="1.0" encoding="utf-8"?>
<sst xmlns="http://schemas.openxmlformats.org/spreadsheetml/2006/main" count="268" uniqueCount="62">
  <si>
    <t>Opći prihodi i primici</t>
  </si>
  <si>
    <t>Sredstva učešća za pomoći</t>
  </si>
  <si>
    <t>PROGRAMSKO FINANCIRANJE JAVNIH VISOKIH UČILIŠTA</t>
  </si>
  <si>
    <t>43</t>
  </si>
  <si>
    <t>Ostali prihodi za posebne namjene</t>
  </si>
  <si>
    <t>51</t>
  </si>
  <si>
    <t>Ostale pomoći</t>
  </si>
  <si>
    <t>Donacije</t>
  </si>
  <si>
    <t>31</t>
  </si>
  <si>
    <t>Vlastiti prihodi</t>
  </si>
  <si>
    <t>Mehanizam za oporavak i otpornost</t>
  </si>
  <si>
    <t>K679084</t>
  </si>
  <si>
    <t>OP KONKURENTNOST I KOHEZIJA 2014.-2020., PRIORITET 1, 9 i 10</t>
  </si>
  <si>
    <t>Europski fond za regionalni razvoj (ERDF)</t>
  </si>
  <si>
    <t>Fond solidarnosti Europske unije – potres</t>
  </si>
  <si>
    <t>32</t>
  </si>
  <si>
    <t>34</t>
  </si>
  <si>
    <t>37</t>
  </si>
  <si>
    <t>41</t>
  </si>
  <si>
    <t>42</t>
  </si>
  <si>
    <t>38</t>
  </si>
  <si>
    <t>45</t>
  </si>
  <si>
    <t>36</t>
  </si>
  <si>
    <t>35</t>
  </si>
  <si>
    <t>11</t>
  </si>
  <si>
    <t>Materijalni rashodi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</si>
  <si>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</si>
  <si>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</si>
  <si>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</si>
  <si>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</si>
  <si>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Rashodi za dodatna ulaganja na nefinancijskoj imovini</t>
  </si>
  <si>
    <t>Pomoći dane u inozemstvo i unutar općeg proračuna</t>
  </si>
  <si>
    <t>Ostali rashodi</t>
  </si>
  <si>
    <t>Subvencije</t>
  </si>
  <si>
    <t>12</t>
  </si>
  <si>
    <t>52</t>
  </si>
  <si>
    <t>Rashodi za nabavu neproizvedene dugotrajne imovine</t>
  </si>
  <si>
    <t>563</t>
  </si>
  <si>
    <t>Europski fond za regionalni razvoj (EFRR</t>
  </si>
  <si>
    <t>3705</t>
  </si>
  <si>
    <t>VISOKO OBRAZOVANJE</t>
  </si>
  <si>
    <t>61</t>
  </si>
  <si>
    <t xml:space="preserve">BROJČANA OZNAKA PRORAČUNSKOG KORISNIKA </t>
  </si>
  <si>
    <t xml:space="preserve">NAZIV PRORAČUNSKOG KORISNIKA </t>
  </si>
  <si>
    <t>Rashodi poslovanja</t>
  </si>
  <si>
    <t>PROJEKCIJA 
2027.</t>
  </si>
  <si>
    <t>Rashodi za nabavu nefinancijske imovine</t>
  </si>
  <si>
    <t>IZVRŠENJE
2024.</t>
  </si>
  <si>
    <t>TEKUĆI PLAN
2025.</t>
  </si>
  <si>
    <t>PLAN 
2026.</t>
  </si>
  <si>
    <t>PROJEKCIJA 
2028.</t>
  </si>
  <si>
    <t>A111111</t>
  </si>
  <si>
    <t>A222222</t>
  </si>
  <si>
    <t>5052</t>
  </si>
  <si>
    <t>Pomoći iz državnog proračuna kroz ostale pomoći</t>
  </si>
  <si>
    <t>Programi Unije</t>
  </si>
  <si>
    <t>533</t>
  </si>
  <si>
    <t>Ostale darovnice</t>
  </si>
  <si>
    <t>Europski socijalni fond plus</t>
  </si>
  <si>
    <t xml:space="preserve">Mehanizam za oporavak i otpornost – bespovratna sredstva </t>
  </si>
  <si>
    <t>PROGRAMSKO I OSTALO FINANCIRANJE SVEUČILIŠTA U SPLITU  – IZ EVIDENCIJSKIH PRIHODA</t>
  </si>
  <si>
    <t>% od ukupnog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</si>
</sst>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b/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</fills>
  <borders count="1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8"/>
      </left>
      <right/>
      <top/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2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4" applyProtection="0">
      <alignment vertical="center"/>
    </xf>
    <xf numFmtId="4" fontId="12" fillId="21" borderId="4" applyNumberFormat="0" applyProtection="0">
      <alignment horizontal="left" vertical="center" indent="1"/>
    </xf>
    <xf numFmtId="4" fontId="12" fillId="22" borderId="4" applyNumberFormat="0" applyProtection="0">
      <alignment horizontal="right" vertical="center"/>
    </xf>
    <xf numFmtId="4" fontId="12" fillId="5" borderId="4" applyNumberFormat="0" applyProtection="0">
      <alignment horizontal="left" vertical="center" indent="1"/>
    </xf>
    <xf numFmtId="4" fontId="12" fillId="23" borderId="4" applyNumberFormat="0" applyProtection="0">
      <alignment vertical="center"/>
    </xf>
    <xf numFmtId="0" fontId="12" fillId="24" borderId="4" applyNumberFormat="0" applyProtection="0">
      <alignment horizontal="left" vertical="center" indent="1"/>
    </xf>
    <xf numFmtId="0" fontId="12" fillId="25" borderId="4" applyNumberFormat="0" applyProtection="0">
      <alignment horizontal="left" vertical="center" indent="1"/>
    </xf>
    <xf numFmtId="0" fontId="12" fillId="2" borderId="4" applyNumberFormat="0" applyProtection="0">
      <alignment horizontal="left" vertical="center" wrapText="1" indent="1"/>
    </xf>
    <xf numFmtId="0" fontId="12" fillId="26" borderId="4" applyNumberFormat="0" applyProtection="0">
      <alignment horizontal="left" vertical="center" indent="1"/>
    </xf>
    <xf numFmtId="4" fontId="12" fillId="0" borderId="4" applyNumberFormat="0" applyProtection="0">
      <alignment horizontal="right" vertical="center"/>
    </xf>
    <xf numFmtId="43" fontId="17" fillId="0" borderId="0" applyFont="0" applyFill="0" applyBorder="0" applyAlignment="0" applyProtection="0"/>
  </cellStyleXfs>
  <cellXfs count="39">
    <xf numFmtId="0" fontId="0" fillId="0" borderId="0" xfId="0"/>
    <xf numFmtId="0" fontId="12" fillId="0" borderId="4" xfId="49" quotePrefix="1" applyFill="1">
      <alignment horizontal="left" vertical="center" indent="1"/>
    </xf>
    <xf numFmtId="0" fontId="12" fillId="0" borderId="4" xfId="49" quotePrefix="1" applyFill="1" applyAlignment="1">
      <alignment horizontal="left" vertical="center" indent="7"/>
    </xf>
    <xf numFmtId="3" fontId="12" fillId="0" borderId="4" xfId="50" applyNumberFormat="1" applyFill="1">
      <alignment horizontal="right" vertical="center"/>
    </xf>
    <xf numFmtId="0" fontId="13" fillId="0" borderId="3" xfId="0" quotePrefix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12" fillId="0" borderId="4" xfId="49" quotePrefix="1" applyFill="1" applyAlignment="1">
      <alignment horizontal="left" vertical="center" indent="9"/>
    </xf>
    <xf numFmtId="3" fontId="12" fillId="0" borderId="7" xfId="50" applyNumberFormat="1" applyFill="1" applyBorder="1">
      <alignment horizontal="right" vertical="center"/>
    </xf>
    <xf numFmtId="0" fontId="12" fillId="0" borderId="4" xfId="49" quotePrefix="1" applyFill="1" applyBorder="1" applyAlignment="1">
      <alignment horizontal="left" vertical="center" indent="7"/>
    </xf>
    <xf numFmtId="0" fontId="12" fillId="0" borderId="4" xfId="49" quotePrefix="1" applyFill="1" applyBorder="1">
      <alignment horizontal="left" vertical="center" indent="1"/>
    </xf>
    <xf numFmtId="3" fontId="12" fillId="0" borderId="4" xfId="50" applyNumberFormat="1" applyFill="1" applyBorder="1">
      <alignment horizontal="right" vertical="center"/>
    </xf>
    <xf numFmtId="0" fontId="12" fillId="0" borderId="5" xfId="49" quotePrefix="1" applyFill="1" applyBorder="1" applyAlignment="1">
      <alignment horizontal="left" vertical="center" indent="7"/>
    </xf>
    <xf numFmtId="0" fontId="12" fillId="0" borderId="5" xfId="49" quotePrefix="1" applyFill="1" applyBorder="1">
      <alignment horizontal="left" vertical="center" indent="1"/>
    </xf>
    <xf numFmtId="3" fontId="12" fillId="0" borderId="5" xfId="50" applyNumberFormat="1" applyFill="1" applyBorder="1">
      <alignment horizontal="right" vertical="center"/>
    </xf>
    <xf numFmtId="0" fontId="14" fillId="0" borderId="4" xfId="49" quotePrefix="1" applyFont="1" applyFill="1" applyAlignment="1">
      <alignment horizontal="left" vertical="center" indent="7"/>
    </xf>
    <xf numFmtId="0" fontId="14" fillId="0" borderId="4" xfId="49" quotePrefix="1" applyFont="1" applyFill="1">
      <alignment horizontal="left" vertical="center" indent="1"/>
    </xf>
    <xf numFmtId="3" fontId="14" fillId="0" borderId="4" xfId="50" applyNumberFormat="1" applyFont="1" applyFill="1">
      <alignment horizontal="right" vertical="center"/>
    </xf>
    <xf numFmtId="0" fontId="1" fillId="0" borderId="6" xfId="6" quotePrefix="1" applyFont="1" applyFill="1" applyBorder="1" applyAlignment="1">
      <alignment horizontal="left" vertical="center" indent="4"/>
    </xf>
    <xf numFmtId="0" fontId="1" fillId="0" borderId="6" xfId="6" quotePrefix="1" applyFont="1" applyFill="1" applyBorder="1" applyAlignment="1">
      <alignment horizontal="left" vertical="center" indent="1"/>
    </xf>
    <xf numFmtId="3" fontId="14" fillId="0" borderId="7" xfId="50" applyNumberFormat="1" applyFont="1" applyFill="1" applyBorder="1">
      <alignment horizontal="right" vertical="center"/>
    </xf>
    <xf numFmtId="0" fontId="14" fillId="0" borderId="4" xfId="49" quotePrefix="1" applyFont="1" applyFill="1" applyAlignment="1">
      <alignment horizontal="left" vertical="center" indent="5"/>
    </xf>
    <xf numFmtId="0" fontId="15" fillId="0" borderId="4" xfId="49" quotePrefix="1" applyFont="1" applyFill="1">
      <alignment horizontal="left" vertical="center" indent="1"/>
    </xf>
    <xf numFmtId="0" fontId="12" fillId="0" borderId="7" xfId="49" quotePrefix="1" applyFill="1" applyBorder="1" applyAlignment="1">
      <alignment horizontal="left" vertical="center" indent="7"/>
    </xf>
    <xf numFmtId="0" fontId="12" fillId="0" borderId="7" xfId="49" quotePrefix="1" applyFill="1" applyBorder="1">
      <alignment horizontal="left" vertical="center" indent="1"/>
    </xf>
    <xf numFmtId="3" fontId="16" fillId="0" borderId="3" xfId="0" quotePrefix="1" applyNumberFormat="1" applyFont="1" applyFill="1" applyBorder="1" applyAlignment="1">
      <alignment horizontal="right" vertical="center" wrapText="1"/>
    </xf>
    <xf numFmtId="3" fontId="15" fillId="0" borderId="4" xfId="50" applyNumberFormat="1" applyFont="1" applyProtection="1">
      <alignment horizontal="right" vertical="center"/>
      <protection locked="0"/>
    </xf>
    <xf numFmtId="3" fontId="15" fillId="0" borderId="4" xfId="50" applyNumberFormat="1" applyFont="1" applyFill="1" applyProtection="1">
      <alignment horizontal="right" vertical="center"/>
      <protection locked="0"/>
    </xf>
    <xf numFmtId="0" fontId="13" fillId="0" borderId="8" xfId="0" applyNumberFormat="1" applyFont="1" applyFill="1" applyBorder="1" applyAlignment="1" applyProtection="1">
      <alignment horizontal="center" vertical="center" wrapText="1"/>
    </xf>
    <xf numFmtId="3" fontId="16" fillId="0" borderId="8" xfId="0" quotePrefix="1" applyNumberFormat="1" applyFont="1" applyFill="1" applyBorder="1" applyAlignment="1">
      <alignment horizontal="right" vertical="center" wrapText="1"/>
    </xf>
    <xf numFmtId="3" fontId="12" fillId="0" borderId="9" xfId="50" applyNumberFormat="1" applyFill="1" applyBorder="1">
      <alignment horizontal="right" vertical="center"/>
    </xf>
    <xf numFmtId="3" fontId="12" fillId="0" borderId="10" xfId="50" applyNumberFormat="1" applyFill="1" applyBorder="1">
      <alignment horizontal="right" vertical="center"/>
    </xf>
    <xf numFmtId="3" fontId="15" fillId="0" borderId="10" xfId="50" applyNumberFormat="1" applyFont="1" applyBorder="1" applyProtection="1">
      <alignment horizontal="right" vertical="center"/>
      <protection locked="0"/>
    </xf>
    <xf numFmtId="3" fontId="12" fillId="0" borderId="11" xfId="50" applyNumberFormat="1" applyFill="1" applyBorder="1">
      <alignment horizontal="right" vertical="center"/>
    </xf>
    <xf numFmtId="3" fontId="14" fillId="0" borderId="9" xfId="50" applyNumberFormat="1" applyFont="1" applyFill="1" applyBorder="1">
      <alignment horizontal="right" vertical="center"/>
    </xf>
    <xf numFmtId="3" fontId="14" fillId="0" borderId="10" xfId="50" applyNumberFormat="1" applyFont="1" applyFill="1" applyBorder="1">
      <alignment horizontal="right" vertical="center"/>
    </xf>
    <xf numFmtId="43" fontId="19" fillId="0" borderId="12" xfId="51" applyFont="1" applyFill="1" applyBorder="1"/>
    <xf numFmtId="4" fontId="16" fillId="0" borderId="8" xfId="0" quotePrefix="1" applyNumberFormat="1" applyFont="1" applyFill="1" applyBorder="1" applyAlignment="1">
      <alignment horizontal="right" vertical="center" wrapText="1"/>
    </xf>
    <xf numFmtId="9" fontId="18" fillId="0" borderId="12" xfId="0" applyNumberFormat="1" applyFont="1" applyFill="1" applyBorder="1" applyAlignment="1">
      <alignment horizontal="center" vertical="justify"/>
    </xf>
  </cellXfs>
  <cellStyles count="52">
    <cellStyle name="Comma" xfId="51" builtinId="3"/>
    <cellStyle name="Normal" xfId="0" builtinId="0"/>
    <cellStyle name="Normal 2" xfId="3" xr:uid="{00000000-0005-0000-0000-000001000000}"/>
    <cellStyle name="SAPBEXaggData" xfId="5" xr:uid="{00000000-0005-0000-0000-000002000000}"/>
    <cellStyle name="SAPBEXaggData 2" xfId="45" xr:uid="{00000000-0005-0000-0000-000003000000}"/>
    <cellStyle name="SAPBEXaggDataEmph" xfId="9" xr:uid="{00000000-0005-0000-0000-000004000000}"/>
    <cellStyle name="SAPBEXaggItem" xfId="10" xr:uid="{00000000-0005-0000-0000-000005000000}"/>
    <cellStyle name="SAPBEXaggItem 2" xfId="44" xr:uid="{00000000-0005-0000-0000-000006000000}"/>
    <cellStyle name="SAPBEXaggItemX" xfId="11" xr:uid="{00000000-0005-0000-0000-000007000000}"/>
    <cellStyle name="SAPBEXchaText" xfId="1" xr:uid="{00000000-0005-0000-0000-000008000000}"/>
    <cellStyle name="SAPBEXchaText 2" xfId="41" xr:uid="{00000000-0005-0000-0000-000009000000}"/>
    <cellStyle name="SAPBEXexcBad7" xfId="12" xr:uid="{00000000-0005-0000-0000-00000A000000}"/>
    <cellStyle name="SAPBEXexcBad8" xfId="13" xr:uid="{00000000-0005-0000-0000-00000B000000}"/>
    <cellStyle name="SAPBEXexcBad9" xfId="14" xr:uid="{00000000-0005-0000-0000-00000C000000}"/>
    <cellStyle name="SAPBEXexcCritical4" xfId="15" xr:uid="{00000000-0005-0000-0000-00000D000000}"/>
    <cellStyle name="SAPBEXexcCritical5" xfId="16" xr:uid="{00000000-0005-0000-0000-00000E000000}"/>
    <cellStyle name="SAPBEXexcCritical6" xfId="17" xr:uid="{00000000-0005-0000-0000-00000F000000}"/>
    <cellStyle name="SAPBEXexcGood1" xfId="18" xr:uid="{00000000-0005-0000-0000-000010000000}"/>
    <cellStyle name="SAPBEXexcGood2" xfId="19" xr:uid="{00000000-0005-0000-0000-000011000000}"/>
    <cellStyle name="SAPBEXexcGood3" xfId="20" xr:uid="{00000000-0005-0000-0000-000012000000}"/>
    <cellStyle name="SAPBEXfilterDrill" xfId="21" xr:uid="{00000000-0005-0000-0000-000013000000}"/>
    <cellStyle name="SAPBEXfilterItem" xfId="22" xr:uid="{00000000-0005-0000-0000-000014000000}"/>
    <cellStyle name="SAPBEXfilterText" xfId="23" xr:uid="{00000000-0005-0000-0000-000015000000}"/>
    <cellStyle name="SAPBEXformats" xfId="24" xr:uid="{00000000-0005-0000-0000-000016000000}"/>
    <cellStyle name="SAPBEXformats 2" xfId="43" xr:uid="{00000000-0005-0000-0000-000017000000}"/>
    <cellStyle name="SAPBEXheaderItem" xfId="25" xr:uid="{00000000-0005-0000-0000-000018000000}"/>
    <cellStyle name="SAPBEXheaderText" xfId="26" xr:uid="{00000000-0005-0000-0000-000019000000}"/>
    <cellStyle name="SAPBEXHLevel0" xfId="27" xr:uid="{00000000-0005-0000-0000-00001A000000}"/>
    <cellStyle name="SAPBEXHLevel0 2" xfId="46" xr:uid="{00000000-0005-0000-0000-00001B000000}"/>
    <cellStyle name="SAPBEXHLevel0X" xfId="28" xr:uid="{00000000-0005-0000-0000-00001C000000}"/>
    <cellStyle name="SAPBEXHLevel1" xfId="4" xr:uid="{00000000-0005-0000-0000-00001D000000}"/>
    <cellStyle name="SAPBEXHLevel1 2" xfId="47" xr:uid="{00000000-0005-0000-0000-00001E000000}"/>
    <cellStyle name="SAPBEXHLevel1X" xfId="29" xr:uid="{00000000-0005-0000-0000-00001F000000}"/>
    <cellStyle name="SAPBEXHLevel2" xfId="6" xr:uid="{00000000-0005-0000-0000-000020000000}"/>
    <cellStyle name="SAPBEXHLevel2 2" xfId="48" xr:uid="{00000000-0005-0000-0000-000021000000}"/>
    <cellStyle name="SAPBEXHLevel2X" xfId="30" xr:uid="{00000000-0005-0000-0000-000022000000}"/>
    <cellStyle name="SAPBEXHLevel3" xfId="7" xr:uid="{00000000-0005-0000-0000-000023000000}"/>
    <cellStyle name="SAPBEXHLevel3 2" xfId="49" xr:uid="{00000000-0005-0000-0000-000024000000}"/>
    <cellStyle name="SAPBEXHLevel3X" xfId="31" xr:uid="{00000000-0005-0000-0000-000025000000}"/>
    <cellStyle name="SAPBEXinputData" xfId="32" xr:uid="{00000000-0005-0000-0000-000026000000}"/>
    <cellStyle name="SAPBEXresData" xfId="33" xr:uid="{00000000-0005-0000-0000-000027000000}"/>
    <cellStyle name="SAPBEXresDataEmph" xfId="34" xr:uid="{00000000-0005-0000-0000-000028000000}"/>
    <cellStyle name="SAPBEXresItem" xfId="35" xr:uid="{00000000-0005-0000-0000-000029000000}"/>
    <cellStyle name="SAPBEXresItemX" xfId="36" xr:uid="{00000000-0005-0000-0000-00002A000000}"/>
    <cellStyle name="SAPBEXstdData" xfId="8" xr:uid="{00000000-0005-0000-0000-00002B000000}"/>
    <cellStyle name="SAPBEXstdData 2" xfId="50" xr:uid="{00000000-0005-0000-0000-00002C000000}"/>
    <cellStyle name="SAPBEXstdDataEmph" xfId="37" xr:uid="{00000000-0005-0000-0000-00002D000000}"/>
    <cellStyle name="SAPBEXstdItem" xfId="2" xr:uid="{00000000-0005-0000-0000-00002E000000}"/>
    <cellStyle name="SAPBEXstdItem 2" xfId="42" xr:uid="{00000000-0005-0000-0000-00002F000000}"/>
    <cellStyle name="SAPBEXstdItemX" xfId="38" xr:uid="{00000000-0005-0000-0000-000030000000}"/>
    <cellStyle name="SAPBEXtitle" xfId="39" xr:uid="{00000000-0005-0000-0000-000031000000}"/>
    <cellStyle name="SAPBEXundefined" xfId="4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51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23" sqref="B23"/>
    </sheetView>
  </sheetViews>
  <sheetFormatPr defaultColWidth="9.140625" defaultRowHeight="15" x14ac:dyDescent="0.25"/>
  <cols>
    <col min="1" max="1" width="17.28515625" style="6" customWidth="1"/>
    <col min="2" max="2" width="60" style="6" customWidth="1"/>
    <col min="3" max="7" width="13.28515625" style="6" customWidth="1"/>
    <col min="8" max="8" width="13.7109375" style="6" bestFit="1" customWidth="1"/>
    <col min="9" max="16384" width="9.140625" style="6"/>
  </cols>
  <sheetData>
    <row r="2" spans="1:8" ht="51" x14ac:dyDescent="0.25">
      <c r="A2" s="4" t="s">
        <v>42</v>
      </c>
      <c r="B2" s="4" t="s">
        <v>43</v>
      </c>
      <c r="C2" s="4" t="s">
        <v>47</v>
      </c>
      <c r="D2" s="4" t="s">
        <v>48</v>
      </c>
      <c r="E2" s="5" t="s">
        <v>49</v>
      </c>
      <c r="F2" s="5" t="s">
        <v>45</v>
      </c>
      <c r="G2" s="28" t="s">
        <v>50</v>
      </c>
      <c r="H2" s="38" t="s">
        <v>61</v>
      </c>
    </row>
    <row r="3" spans="1:8" x14ac:dyDescent="0.25">
      <c r="A3" s="18" t="s">
        <v>39</v>
      </c>
      <c r="B3" s="19" t="s">
        <v>40</v>
      </c>
      <c r="C3" s="25">
        <f t="shared" ref="C3:H3" si="0">SUM(C4:C15)</f>
        <v>8827784.5700000003</v>
      </c>
      <c r="D3" s="25">
        <f t="shared" si="0"/>
        <v>9674614</v>
      </c>
      <c r="E3" s="25">
        <f t="shared" si="0"/>
        <v>10243295</v>
      </c>
      <c r="F3" s="25">
        <f t="shared" si="0"/>
        <v>10393346</v>
      </c>
      <c r="G3" s="29">
        <f t="shared" si="0"/>
        <v>10448054</v>
      </c>
      <c r="H3" s="37">
        <f t="shared" si="0"/>
        <v>100.00000000000001</v>
      </c>
    </row>
    <row r="4" spans="1:8" x14ac:dyDescent="0.25">
      <c r="A4" s="23">
        <v>11</v>
      </c>
      <c r="B4" s="24" t="s">
        <v>0</v>
      </c>
      <c r="C4" s="8">
        <v>7396179</v>
      </c>
      <c r="D4" s="8">
        <f>7523918+411588+45500+138327</f>
        <v>8119333</v>
      </c>
      <c r="E4" s="8">
        <v>8504714</v>
      </c>
      <c r="F4" s="8">
        <v>8695678</v>
      </c>
      <c r="G4" s="30">
        <v>8849913</v>
      </c>
      <c r="H4" s="36">
        <f>E4/E3%</f>
        <v>83.027131406446856</v>
      </c>
    </row>
    <row r="5" spans="1:8" x14ac:dyDescent="0.25">
      <c r="A5" s="2">
        <v>31</v>
      </c>
      <c r="B5" s="1" t="s">
        <v>9</v>
      </c>
      <c r="C5" s="3">
        <v>975343</v>
      </c>
      <c r="D5" s="3">
        <f>10+7000+237527</f>
        <v>244537</v>
      </c>
      <c r="E5" s="3">
        <f>10+10000+58490</f>
        <v>68500</v>
      </c>
      <c r="F5" s="3">
        <v>70010</v>
      </c>
      <c r="G5" s="31">
        <v>72010</v>
      </c>
      <c r="H5" s="36">
        <f>E5/E3%</f>
        <v>0.66873013029498807</v>
      </c>
    </row>
    <row r="6" spans="1:8" x14ac:dyDescent="0.25">
      <c r="A6" s="2">
        <v>43</v>
      </c>
      <c r="B6" s="1" t="s">
        <v>4</v>
      </c>
      <c r="C6" s="3">
        <v>314024</v>
      </c>
      <c r="D6" s="3">
        <v>1030000</v>
      </c>
      <c r="E6" s="3">
        <f>1262700</f>
        <v>1262700</v>
      </c>
      <c r="F6" s="3">
        <v>1300000</v>
      </c>
      <c r="G6" s="31">
        <v>1350000</v>
      </c>
      <c r="H6" s="36">
        <f>E6/E3%</f>
        <v>12.327088109831847</v>
      </c>
    </row>
    <row r="7" spans="1:8" x14ac:dyDescent="0.25">
      <c r="A7" s="2">
        <v>5052</v>
      </c>
      <c r="B7" s="22" t="s">
        <v>54</v>
      </c>
      <c r="C7" s="3"/>
      <c r="D7" s="3"/>
      <c r="E7" s="27">
        <v>24770</v>
      </c>
      <c r="F7" s="26">
        <v>6695</v>
      </c>
      <c r="G7" s="32">
        <v>2232</v>
      </c>
      <c r="H7" s="36">
        <f>E7/E3%</f>
        <v>0.24181672010812927</v>
      </c>
    </row>
    <row r="8" spans="1:8" x14ac:dyDescent="0.25">
      <c r="A8" s="2">
        <v>51</v>
      </c>
      <c r="B8" s="22" t="s">
        <v>55</v>
      </c>
      <c r="C8" s="3"/>
      <c r="D8" s="3">
        <v>60256</v>
      </c>
      <c r="E8" s="3"/>
      <c r="F8" s="3"/>
      <c r="G8" s="31"/>
      <c r="H8" s="36">
        <f>E8/E3%</f>
        <v>0</v>
      </c>
    </row>
    <row r="9" spans="1:8" x14ac:dyDescent="0.25">
      <c r="A9" s="2">
        <v>52</v>
      </c>
      <c r="B9" s="22" t="s">
        <v>6</v>
      </c>
      <c r="C9" s="3">
        <v>126868.57</v>
      </c>
      <c r="D9" s="3">
        <f>4500+22447+10980+18085+89976+500+4000+70000</f>
        <v>220488</v>
      </c>
      <c r="E9" s="3">
        <v>4500</v>
      </c>
      <c r="F9" s="3">
        <v>4500</v>
      </c>
      <c r="G9" s="31"/>
      <c r="H9" s="36">
        <f>E9/E3%</f>
        <v>4.3931176442736447E-2</v>
      </c>
    </row>
    <row r="10" spans="1:8" x14ac:dyDescent="0.25">
      <c r="A10" s="2">
        <v>533</v>
      </c>
      <c r="B10" s="22" t="s">
        <v>57</v>
      </c>
      <c r="C10" s="3"/>
      <c r="D10" s="3"/>
      <c r="E10" s="3">
        <v>148258</v>
      </c>
      <c r="F10" s="3">
        <v>160308</v>
      </c>
      <c r="G10" s="31">
        <v>55166</v>
      </c>
      <c r="H10" s="36">
        <f>E10/E3%</f>
        <v>1.447366301566049</v>
      </c>
    </row>
    <row r="11" spans="1:8" x14ac:dyDescent="0.25">
      <c r="A11" s="2">
        <v>561</v>
      </c>
      <c r="B11" s="22" t="s">
        <v>58</v>
      </c>
      <c r="C11" s="3"/>
      <c r="D11" s="3"/>
      <c r="E11" s="3">
        <v>2200</v>
      </c>
      <c r="F11" s="3"/>
      <c r="G11" s="31"/>
      <c r="H11" s="36">
        <f>E11/E3%</f>
        <v>2.1477464038671151E-2</v>
      </c>
    </row>
    <row r="12" spans="1:8" x14ac:dyDescent="0.25">
      <c r="A12" s="2">
        <v>581</v>
      </c>
      <c r="B12" s="1" t="s">
        <v>10</v>
      </c>
      <c r="C12" s="3"/>
      <c r="D12" s="3"/>
      <c r="E12" s="3">
        <v>227653</v>
      </c>
      <c r="F12" s="3">
        <v>156155</v>
      </c>
      <c r="G12" s="31">
        <v>118733</v>
      </c>
      <c r="H12" s="36">
        <f>E12/E3%</f>
        <v>2.2224586912707287</v>
      </c>
    </row>
    <row r="13" spans="1:8" x14ac:dyDescent="0.25">
      <c r="A13" s="9">
        <v>5761</v>
      </c>
      <c r="B13" s="10" t="s">
        <v>14</v>
      </c>
      <c r="C13" s="11"/>
      <c r="D13" s="11"/>
      <c r="E13" s="11"/>
      <c r="F13" s="11"/>
      <c r="G13" s="31"/>
      <c r="H13" s="36"/>
    </row>
    <row r="14" spans="1:8" x14ac:dyDescent="0.25">
      <c r="A14" s="12">
        <v>563</v>
      </c>
      <c r="B14" s="13" t="s">
        <v>13</v>
      </c>
      <c r="C14" s="14"/>
      <c r="D14" s="14"/>
      <c r="E14" s="14"/>
      <c r="F14" s="14"/>
      <c r="G14" s="33"/>
      <c r="H14" s="36"/>
    </row>
    <row r="15" spans="1:8" x14ac:dyDescent="0.25">
      <c r="A15" s="2">
        <v>61</v>
      </c>
      <c r="B15" s="1" t="s">
        <v>7</v>
      </c>
      <c r="C15" s="3">
        <v>15370</v>
      </c>
      <c r="D15" s="3"/>
      <c r="E15" s="3"/>
      <c r="F15" s="3"/>
      <c r="G15" s="31"/>
      <c r="H15" s="36"/>
    </row>
    <row r="16" spans="1:8" x14ac:dyDescent="0.25">
      <c r="A16" s="18" t="s">
        <v>39</v>
      </c>
      <c r="B16" s="19" t="s">
        <v>40</v>
      </c>
      <c r="C16" s="20">
        <f>C17+C41+C133</f>
        <v>9344134</v>
      </c>
      <c r="D16" s="20">
        <f t="shared" ref="C16:D16" si="1">D17+D41+D143</f>
        <v>10884889</v>
      </c>
      <c r="E16" s="20">
        <f>E17+E41+E143</f>
        <v>9947864</v>
      </c>
      <c r="F16" s="20">
        <f t="shared" ref="F16:G16" si="2">F17+F41+F143</f>
        <v>10047914</v>
      </c>
      <c r="G16" s="34">
        <f t="shared" si="2"/>
        <v>10060294</v>
      </c>
      <c r="H16" s="36">
        <f>SUM(H17:H151)</f>
        <v>99.999999999999972</v>
      </c>
    </row>
    <row r="17" spans="1:8" x14ac:dyDescent="0.25">
      <c r="A17" s="21" t="s">
        <v>51</v>
      </c>
      <c r="B17" s="16" t="s">
        <v>2</v>
      </c>
      <c r="C17" s="17">
        <f t="shared" ref="C17:D17" si="3">C18+C29</f>
        <v>7382062</v>
      </c>
      <c r="D17" s="17">
        <f t="shared" si="3"/>
        <v>8104265</v>
      </c>
      <c r="E17" s="17">
        <f>E18+E29</f>
        <v>8732367</v>
      </c>
      <c r="F17" s="17">
        <f t="shared" ref="F17:G17" si="4">F18+F29</f>
        <v>8851833</v>
      </c>
      <c r="G17" s="35">
        <f t="shared" si="4"/>
        <v>8968646</v>
      </c>
      <c r="H17" s="36"/>
    </row>
    <row r="18" spans="1:8" x14ac:dyDescent="0.25">
      <c r="A18" s="15" t="s">
        <v>24</v>
      </c>
      <c r="B18" s="16" t="s">
        <v>0</v>
      </c>
      <c r="C18" s="17">
        <f t="shared" ref="C18:D18" si="5">C19+C25</f>
        <v>7382062</v>
      </c>
      <c r="D18" s="17">
        <f t="shared" si="5"/>
        <v>8104265</v>
      </c>
      <c r="E18" s="17">
        <f t="shared" ref="E18" si="6">E19+E25</f>
        <v>8504714</v>
      </c>
      <c r="F18" s="17">
        <f t="shared" ref="F18:G18" si="7">F19+F25</f>
        <v>8695678</v>
      </c>
      <c r="G18" s="35">
        <f t="shared" si="7"/>
        <v>8849913</v>
      </c>
      <c r="H18" s="36">
        <f>E18/E16%</f>
        <v>85.492865604113604</v>
      </c>
    </row>
    <row r="19" spans="1:8" x14ac:dyDescent="0.25">
      <c r="A19" s="15">
        <v>3</v>
      </c>
      <c r="B19" s="16" t="s">
        <v>44</v>
      </c>
      <c r="C19" s="17">
        <f t="shared" ref="C19:D19" si="8">SUM(C20:C24)</f>
        <v>7370844</v>
      </c>
      <c r="D19" s="17">
        <f t="shared" si="8"/>
        <v>8035265</v>
      </c>
      <c r="E19" s="17">
        <f t="shared" ref="E19" si="9">SUM(E20:E24)</f>
        <v>8423714</v>
      </c>
      <c r="F19" s="17">
        <f t="shared" ref="F19:G19" si="10">SUM(F20:F24)</f>
        <v>8610178</v>
      </c>
      <c r="G19" s="35">
        <f t="shared" si="10"/>
        <v>8808913</v>
      </c>
      <c r="H19" s="36"/>
    </row>
    <row r="20" spans="1:8" x14ac:dyDescent="0.25">
      <c r="A20" s="7" t="s">
        <v>8</v>
      </c>
      <c r="B20" s="1" t="s">
        <v>26</v>
      </c>
      <c r="C20" s="3">
        <f>6692349+1530+72006</f>
        <v>6765885</v>
      </c>
      <c r="D20" s="3">
        <f>6100000+1417+185798+997243+23000+42000+10725</f>
        <v>7360183</v>
      </c>
      <c r="E20" s="3">
        <v>7723541</v>
      </c>
      <c r="F20" s="3">
        <f>7880083</f>
        <v>7880083</v>
      </c>
      <c r="G20" s="31">
        <f>8048426</f>
        <v>8048426</v>
      </c>
      <c r="H20" s="36"/>
    </row>
    <row r="21" spans="1:8" x14ac:dyDescent="0.25">
      <c r="A21" s="7" t="s">
        <v>15</v>
      </c>
      <c r="B21" s="1" t="s">
        <v>25</v>
      </c>
      <c r="C21" s="3">
        <f>77962+36897+1092+483885</f>
        <v>599836</v>
      </c>
      <c r="D21" s="3">
        <f>70000+13391+3000+1000+22000+54175+2000+1500+8000+30000+6000+20000+11000+100000+50000+8000+188+200+200+1000+46001+65000+30000+8400+827+1500+200+400+5000+4000+50000+40000+7000+200+200+4000+2400</f>
        <v>666782</v>
      </c>
      <c r="E21" s="3">
        <f>92286+407580+37300+117557+35450</f>
        <v>690173</v>
      </c>
      <c r="F21" s="3">
        <f>92286+432130+40000+119129+35450</f>
        <v>718995</v>
      </c>
      <c r="G21" s="31">
        <f>92286+454451+44000+122600+35450</f>
        <v>748787</v>
      </c>
      <c r="H21" s="36"/>
    </row>
    <row r="22" spans="1:8" x14ac:dyDescent="0.25">
      <c r="A22" s="7" t="s">
        <v>16</v>
      </c>
      <c r="B22" s="1" t="s">
        <v>27</v>
      </c>
      <c r="C22" s="3">
        <f>664+3185</f>
        <v>3849</v>
      </c>
      <c r="D22" s="3">
        <f>3000+700</f>
        <v>3700</v>
      </c>
      <c r="E22" s="3">
        <f>3100+400</f>
        <v>3500</v>
      </c>
      <c r="F22" s="3">
        <f>3200+400</f>
        <v>3600</v>
      </c>
      <c r="G22" s="31">
        <f>3300+400</f>
        <v>3700</v>
      </c>
      <c r="H22" s="36"/>
    </row>
    <row r="23" spans="1:8" x14ac:dyDescent="0.25">
      <c r="A23" s="7" t="s">
        <v>17</v>
      </c>
      <c r="B23" s="1" t="s">
        <v>28</v>
      </c>
      <c r="C23" s="3">
        <v>1274</v>
      </c>
      <c r="D23" s="3">
        <f>2600+2000</f>
        <v>4600</v>
      </c>
      <c r="E23" s="3">
        <f>6500</f>
        <v>6500</v>
      </c>
      <c r="F23" s="3">
        <f>7500</f>
        <v>7500</v>
      </c>
      <c r="G23" s="31">
        <f>8000</f>
        <v>8000</v>
      </c>
      <c r="H23" s="36"/>
    </row>
    <row r="24" spans="1:8" x14ac:dyDescent="0.25">
      <c r="A24" s="7" t="s">
        <v>20</v>
      </c>
      <c r="B24" s="1" t="s">
        <v>32</v>
      </c>
      <c r="C24" s="3"/>
      <c r="D24" s="3"/>
      <c r="E24" s="3"/>
      <c r="F24" s="3"/>
      <c r="G24" s="31"/>
      <c r="H24" s="36"/>
    </row>
    <row r="25" spans="1:8" x14ac:dyDescent="0.25">
      <c r="A25" s="15">
        <v>4</v>
      </c>
      <c r="B25" s="16" t="s">
        <v>46</v>
      </c>
      <c r="C25" s="17">
        <f>SUM(C26:C28)</f>
        <v>11218</v>
      </c>
      <c r="D25" s="17">
        <f t="shared" ref="D25:G25" si="11">SUM(D26:D28)</f>
        <v>69000</v>
      </c>
      <c r="E25" s="17">
        <f t="shared" si="11"/>
        <v>81000</v>
      </c>
      <c r="F25" s="17">
        <f t="shared" si="11"/>
        <v>85500</v>
      </c>
      <c r="G25" s="35">
        <f t="shared" si="11"/>
        <v>41000</v>
      </c>
      <c r="H25" s="36"/>
    </row>
    <row r="26" spans="1:8" x14ac:dyDescent="0.25">
      <c r="A26" s="7" t="s">
        <v>18</v>
      </c>
      <c r="B26" s="1" t="s">
        <v>36</v>
      </c>
      <c r="C26" s="3"/>
      <c r="D26" s="3"/>
      <c r="E26" s="3"/>
      <c r="F26" s="3"/>
      <c r="G26" s="31"/>
      <c r="H26" s="36"/>
    </row>
    <row r="27" spans="1:8" x14ac:dyDescent="0.25">
      <c r="A27" s="7" t="s">
        <v>19</v>
      </c>
      <c r="B27" s="1" t="s">
        <v>29</v>
      </c>
      <c r="C27" s="3">
        <f>11218</f>
        <v>11218</v>
      </c>
      <c r="D27" s="3">
        <f>10000+2000+50000+4000+1000+2000</f>
        <v>69000</v>
      </c>
      <c r="E27" s="3">
        <f>16000+65000</f>
        <v>81000</v>
      </c>
      <c r="F27" s="3">
        <f>15500+70000</f>
        <v>85500</v>
      </c>
      <c r="G27" s="31">
        <f>16000+25000</f>
        <v>41000</v>
      </c>
      <c r="H27" s="36"/>
    </row>
    <row r="28" spans="1:8" x14ac:dyDescent="0.25">
      <c r="A28" s="7" t="s">
        <v>21</v>
      </c>
      <c r="B28" s="1" t="s">
        <v>30</v>
      </c>
      <c r="C28" s="3"/>
      <c r="D28" s="3"/>
      <c r="E28" s="3"/>
      <c r="F28" s="3"/>
      <c r="G28" s="31"/>
      <c r="H28" s="36"/>
    </row>
    <row r="29" spans="1:8" x14ac:dyDescent="0.25">
      <c r="A29" s="15">
        <v>581</v>
      </c>
      <c r="B29" s="16" t="s">
        <v>59</v>
      </c>
      <c r="C29" s="17">
        <f>C30+C37</f>
        <v>0</v>
      </c>
      <c r="D29" s="17">
        <f t="shared" ref="D29" si="12">D30+D37</f>
        <v>0</v>
      </c>
      <c r="E29" s="17">
        <f t="shared" ref="E29" si="13">E30+E37</f>
        <v>227653</v>
      </c>
      <c r="F29" s="17">
        <f t="shared" ref="F29" si="14">F30+F37</f>
        <v>156155</v>
      </c>
      <c r="G29" s="35">
        <f t="shared" ref="G29" si="15">G30+G37</f>
        <v>118733</v>
      </c>
      <c r="H29" s="36">
        <f>E29/E16%</f>
        <v>2.2884611208999237</v>
      </c>
    </row>
    <row r="30" spans="1:8" x14ac:dyDescent="0.25">
      <c r="A30" s="15">
        <v>3</v>
      </c>
      <c r="B30" s="16" t="s">
        <v>44</v>
      </c>
      <c r="C30" s="17">
        <f>SUM(C31:C36)</f>
        <v>0</v>
      </c>
      <c r="D30" s="17">
        <f t="shared" ref="D30" si="16">SUM(D31:D36)</f>
        <v>0</v>
      </c>
      <c r="E30" s="17">
        <f t="shared" ref="E30" si="17">SUM(E31:E36)</f>
        <v>97653</v>
      </c>
      <c r="F30" s="17">
        <f t="shared" ref="F30" si="18">SUM(F31:F36)</f>
        <v>86155</v>
      </c>
      <c r="G30" s="35">
        <f t="shared" ref="G30" si="19">SUM(G31:G36)</f>
        <v>82233</v>
      </c>
      <c r="H30" s="36"/>
    </row>
    <row r="31" spans="1:8" x14ac:dyDescent="0.25">
      <c r="A31" s="7" t="s">
        <v>8</v>
      </c>
      <c r="B31" s="1" t="s">
        <v>26</v>
      </c>
      <c r="C31" s="3"/>
      <c r="D31" s="3"/>
      <c r="E31" s="3"/>
      <c r="F31" s="3"/>
      <c r="G31" s="31"/>
      <c r="H31" s="36"/>
    </row>
    <row r="32" spans="1:8" x14ac:dyDescent="0.25">
      <c r="A32" s="7" t="s">
        <v>15</v>
      </c>
      <c r="B32" s="1" t="s">
        <v>25</v>
      </c>
      <c r="C32" s="3"/>
      <c r="D32" s="3"/>
      <c r="E32" s="3">
        <v>97653</v>
      </c>
      <c r="F32" s="3">
        <v>86155</v>
      </c>
      <c r="G32" s="31">
        <v>82233</v>
      </c>
      <c r="H32" s="36"/>
    </row>
    <row r="33" spans="1:8" x14ac:dyDescent="0.25">
      <c r="A33" s="7" t="s">
        <v>16</v>
      </c>
      <c r="B33" s="1" t="s">
        <v>27</v>
      </c>
      <c r="C33" s="3"/>
      <c r="D33" s="3"/>
      <c r="E33" s="3"/>
      <c r="F33" s="3"/>
      <c r="G33" s="31"/>
      <c r="H33" s="36"/>
    </row>
    <row r="34" spans="1:8" x14ac:dyDescent="0.25">
      <c r="A34" s="7" t="s">
        <v>22</v>
      </c>
      <c r="B34" s="1" t="s">
        <v>31</v>
      </c>
      <c r="C34" s="3"/>
      <c r="D34" s="3"/>
      <c r="E34" s="3"/>
      <c r="F34" s="3"/>
      <c r="G34" s="31"/>
      <c r="H34" s="36"/>
    </row>
    <row r="35" spans="1:8" x14ac:dyDescent="0.25">
      <c r="A35" s="7" t="s">
        <v>17</v>
      </c>
      <c r="B35" s="1" t="s">
        <v>28</v>
      </c>
      <c r="C35" s="3"/>
      <c r="D35" s="3"/>
      <c r="E35" s="3"/>
      <c r="F35" s="3"/>
      <c r="G35" s="31"/>
      <c r="H35" s="36"/>
    </row>
    <row r="36" spans="1:8" x14ac:dyDescent="0.25">
      <c r="A36" s="7" t="s">
        <v>20</v>
      </c>
      <c r="B36" s="1" t="s">
        <v>32</v>
      </c>
      <c r="C36" s="3"/>
      <c r="D36" s="3"/>
      <c r="E36" s="3"/>
      <c r="F36" s="3"/>
      <c r="G36" s="31"/>
      <c r="H36" s="36"/>
    </row>
    <row r="37" spans="1:8" x14ac:dyDescent="0.25">
      <c r="A37" s="15">
        <v>4</v>
      </c>
      <c r="B37" s="16" t="s">
        <v>46</v>
      </c>
      <c r="C37" s="17">
        <f>SUM(C38:C40)</f>
        <v>0</v>
      </c>
      <c r="D37" s="17">
        <f t="shared" ref="D37" si="20">SUM(D38:D40)</f>
        <v>0</v>
      </c>
      <c r="E37" s="17">
        <f t="shared" ref="E37" si="21">SUM(E38:E40)</f>
        <v>130000</v>
      </c>
      <c r="F37" s="17">
        <f t="shared" ref="F37" si="22">SUM(F38:F40)</f>
        <v>70000</v>
      </c>
      <c r="G37" s="35">
        <f t="shared" ref="G37" si="23">SUM(G38:G40)</f>
        <v>36500</v>
      </c>
      <c r="H37" s="36"/>
    </row>
    <row r="38" spans="1:8" x14ac:dyDescent="0.25">
      <c r="A38" s="7" t="s">
        <v>18</v>
      </c>
      <c r="B38" s="1" t="s">
        <v>36</v>
      </c>
      <c r="C38" s="3"/>
      <c r="D38" s="3"/>
      <c r="E38" s="3">
        <v>110000</v>
      </c>
      <c r="F38" s="3">
        <v>50000</v>
      </c>
      <c r="G38" s="31">
        <v>25500</v>
      </c>
      <c r="H38" s="36"/>
    </row>
    <row r="39" spans="1:8" x14ac:dyDescent="0.25">
      <c r="A39" s="7" t="s">
        <v>19</v>
      </c>
      <c r="B39" s="1" t="s">
        <v>29</v>
      </c>
      <c r="C39" s="3"/>
      <c r="D39" s="3"/>
      <c r="E39" s="3">
        <v>20000</v>
      </c>
      <c r="F39" s="3">
        <v>20000</v>
      </c>
      <c r="G39" s="31">
        <v>11000</v>
      </c>
      <c r="H39" s="36"/>
    </row>
    <row r="40" spans="1:8" x14ac:dyDescent="0.25">
      <c r="A40" s="7" t="s">
        <v>21</v>
      </c>
      <c r="B40" s="1" t="s">
        <v>30</v>
      </c>
      <c r="C40" s="3"/>
      <c r="D40" s="3"/>
      <c r="E40" s="3"/>
      <c r="F40" s="3"/>
      <c r="G40" s="31"/>
      <c r="H40" s="36"/>
    </row>
    <row r="41" spans="1:8" x14ac:dyDescent="0.25">
      <c r="A41" s="21" t="s">
        <v>52</v>
      </c>
      <c r="B41" s="16" t="s">
        <v>60</v>
      </c>
      <c r="C41" s="17">
        <f>C42+C52+C75+C88+C124</f>
        <v>1962072</v>
      </c>
      <c r="D41" s="17">
        <f>D42+D52+D75+D88+D124</f>
        <v>2780624</v>
      </c>
      <c r="E41" s="17">
        <f>E42+E52+E75+E88+E124+E62+E100+E112</f>
        <v>1198260</v>
      </c>
      <c r="F41" s="17">
        <f t="shared" ref="F41:G41" si="24">F42+F52+F75+F88+F124+F62+F100+F112</f>
        <v>1196081</v>
      </c>
      <c r="G41" s="35">
        <f t="shared" si="24"/>
        <v>1091648</v>
      </c>
      <c r="H41" s="36"/>
    </row>
    <row r="42" spans="1:8" x14ac:dyDescent="0.25">
      <c r="A42" s="15" t="s">
        <v>8</v>
      </c>
      <c r="B42" s="16" t="s">
        <v>9</v>
      </c>
      <c r="C42" s="17">
        <f>C43+C49</f>
        <v>1301913</v>
      </c>
      <c r="D42" s="17">
        <f t="shared" ref="D42:G42" si="25">D43+D49</f>
        <v>593030</v>
      </c>
      <c r="E42" s="17">
        <f t="shared" si="25"/>
        <v>50530</v>
      </c>
      <c r="F42" s="17">
        <f t="shared" si="25"/>
        <v>50530</v>
      </c>
      <c r="G42" s="35">
        <f t="shared" si="25"/>
        <v>50530</v>
      </c>
      <c r="H42" s="36">
        <f>E42/E16%</f>
        <v>0.50794823893852992</v>
      </c>
    </row>
    <row r="43" spans="1:8" x14ac:dyDescent="0.25">
      <c r="A43" s="15">
        <v>3</v>
      </c>
      <c r="B43" s="16" t="s">
        <v>44</v>
      </c>
      <c r="C43" s="17">
        <f>SUM(C44:C48)</f>
        <v>814338</v>
      </c>
      <c r="D43" s="17">
        <f t="shared" ref="D43:G43" si="26">SUM(D44:D48)</f>
        <v>582530</v>
      </c>
      <c r="E43" s="17">
        <f t="shared" si="26"/>
        <v>48030</v>
      </c>
      <c r="F43" s="17">
        <f t="shared" si="26"/>
        <v>48030</v>
      </c>
      <c r="G43" s="35">
        <f t="shared" si="26"/>
        <v>48030</v>
      </c>
      <c r="H43" s="36"/>
    </row>
    <row r="44" spans="1:8" x14ac:dyDescent="0.25">
      <c r="A44" s="7" t="s">
        <v>8</v>
      </c>
      <c r="B44" s="1" t="s">
        <v>26</v>
      </c>
      <c r="C44" s="3">
        <f>401898</f>
        <v>401898</v>
      </c>
      <c r="D44" s="3">
        <v>409265</v>
      </c>
      <c r="E44" s="3">
        <v>6990</v>
      </c>
      <c r="F44" s="3">
        <v>6990</v>
      </c>
      <c r="G44" s="31">
        <v>6990</v>
      </c>
      <c r="H44" s="36"/>
    </row>
    <row r="45" spans="1:8" x14ac:dyDescent="0.25">
      <c r="A45" s="7" t="s">
        <v>15</v>
      </c>
      <c r="B45" s="1" t="s">
        <v>25</v>
      </c>
      <c r="C45" s="3">
        <f>382781</f>
        <v>382781</v>
      </c>
      <c r="D45" s="3">
        <f>154540+7750</f>
        <v>162290</v>
      </c>
      <c r="E45" s="3">
        <v>40355</v>
      </c>
      <c r="F45" s="3">
        <v>40355</v>
      </c>
      <c r="G45" s="31">
        <v>40355</v>
      </c>
      <c r="H45" s="36"/>
    </row>
    <row r="46" spans="1:8" x14ac:dyDescent="0.25">
      <c r="A46" s="7" t="s">
        <v>16</v>
      </c>
      <c r="B46" s="1" t="s">
        <v>27</v>
      </c>
      <c r="C46" s="3">
        <f>82</f>
        <v>82</v>
      </c>
      <c r="D46" s="3">
        <v>300</v>
      </c>
      <c r="E46" s="3">
        <v>130</v>
      </c>
      <c r="F46" s="3">
        <v>130</v>
      </c>
      <c r="G46" s="31">
        <v>130</v>
      </c>
      <c r="H46" s="36"/>
    </row>
    <row r="47" spans="1:8" x14ac:dyDescent="0.25">
      <c r="A47" s="7" t="s">
        <v>17</v>
      </c>
      <c r="B47" s="1" t="s">
        <v>28</v>
      </c>
      <c r="C47" s="3">
        <f>106</f>
        <v>106</v>
      </c>
      <c r="D47" s="3">
        <v>1000</v>
      </c>
      <c r="E47" s="3"/>
      <c r="F47" s="3"/>
      <c r="G47" s="31"/>
      <c r="H47" s="36"/>
    </row>
    <row r="48" spans="1:8" x14ac:dyDescent="0.25">
      <c r="A48" s="7" t="s">
        <v>20</v>
      </c>
      <c r="B48" s="1" t="s">
        <v>32</v>
      </c>
      <c r="C48" s="3">
        <f>29471</f>
        <v>29471</v>
      </c>
      <c r="D48" s="3">
        <v>9675</v>
      </c>
      <c r="E48" s="3">
        <v>555</v>
      </c>
      <c r="F48" s="3">
        <v>555</v>
      </c>
      <c r="G48" s="31">
        <v>555</v>
      </c>
      <c r="H48" s="36"/>
    </row>
    <row r="49" spans="1:8" x14ac:dyDescent="0.25">
      <c r="A49" s="15">
        <v>4</v>
      </c>
      <c r="B49" s="16" t="s">
        <v>46</v>
      </c>
      <c r="C49" s="17">
        <f>SUM(C50:C51)</f>
        <v>487575</v>
      </c>
      <c r="D49" s="17">
        <f t="shared" ref="D49:G49" si="27">SUM(D50:D51)</f>
        <v>10500</v>
      </c>
      <c r="E49" s="17">
        <f t="shared" si="27"/>
        <v>2500</v>
      </c>
      <c r="F49" s="17">
        <f t="shared" si="27"/>
        <v>2500</v>
      </c>
      <c r="G49" s="35">
        <f t="shared" si="27"/>
        <v>2500</v>
      </c>
      <c r="H49" s="36"/>
    </row>
    <row r="50" spans="1:8" x14ac:dyDescent="0.25">
      <c r="A50" s="7" t="s">
        <v>18</v>
      </c>
      <c r="B50" s="1" t="s">
        <v>36</v>
      </c>
      <c r="C50" s="3">
        <f>484203</f>
        <v>484203</v>
      </c>
      <c r="D50" s="3"/>
      <c r="E50" s="3"/>
      <c r="F50" s="3"/>
      <c r="G50" s="31"/>
      <c r="H50" s="36"/>
    </row>
    <row r="51" spans="1:8" x14ac:dyDescent="0.25">
      <c r="A51" s="7" t="s">
        <v>19</v>
      </c>
      <c r="B51" s="1" t="s">
        <v>29</v>
      </c>
      <c r="C51" s="3">
        <f>3372</f>
        <v>3372</v>
      </c>
      <c r="D51" s="3">
        <f>4500+6000</f>
        <v>10500</v>
      </c>
      <c r="E51" s="3">
        <v>2500</v>
      </c>
      <c r="F51" s="3">
        <v>2500</v>
      </c>
      <c r="G51" s="31">
        <v>2500</v>
      </c>
      <c r="H51" s="36"/>
    </row>
    <row r="52" spans="1:8" x14ac:dyDescent="0.25">
      <c r="A52" s="15" t="s">
        <v>3</v>
      </c>
      <c r="B52" s="16" t="s">
        <v>4</v>
      </c>
      <c r="C52" s="17">
        <f>C53+C59</f>
        <v>468072</v>
      </c>
      <c r="D52" s="17">
        <f t="shared" ref="D52:G52" si="28">D53+D59</f>
        <v>1763840</v>
      </c>
      <c r="E52" s="17">
        <f t="shared" si="28"/>
        <v>976120</v>
      </c>
      <c r="F52" s="17">
        <f t="shared" si="28"/>
        <v>976120</v>
      </c>
      <c r="G52" s="35">
        <f t="shared" si="28"/>
        <v>976120</v>
      </c>
      <c r="H52" s="36">
        <f>E52/E16%</f>
        <v>9.8123577081471964</v>
      </c>
    </row>
    <row r="53" spans="1:8" x14ac:dyDescent="0.25">
      <c r="A53" s="15">
        <v>3</v>
      </c>
      <c r="B53" s="16" t="s">
        <v>44</v>
      </c>
      <c r="C53" s="17">
        <f>SUM(C54:C58)</f>
        <v>142437</v>
      </c>
      <c r="D53" s="17">
        <f t="shared" ref="D53:G53" si="29">SUM(D54:D58)</f>
        <v>1331840</v>
      </c>
      <c r="E53" s="17">
        <f t="shared" si="29"/>
        <v>964190</v>
      </c>
      <c r="F53" s="17">
        <f t="shared" si="29"/>
        <v>964190</v>
      </c>
      <c r="G53" s="35">
        <f t="shared" si="29"/>
        <v>964190</v>
      </c>
      <c r="H53" s="36"/>
    </row>
    <row r="54" spans="1:8" x14ac:dyDescent="0.25">
      <c r="A54" s="7" t="s">
        <v>8</v>
      </c>
      <c r="B54" s="1" t="s">
        <v>26</v>
      </c>
      <c r="C54" s="3"/>
      <c r="D54" s="3">
        <v>619240</v>
      </c>
      <c r="E54" s="3">
        <v>384500</v>
      </c>
      <c r="F54" s="3">
        <v>384500</v>
      </c>
      <c r="G54" s="31">
        <v>384500</v>
      </c>
      <c r="H54" s="36"/>
    </row>
    <row r="55" spans="1:8" x14ac:dyDescent="0.25">
      <c r="A55" s="7" t="s">
        <v>15</v>
      </c>
      <c r="B55" s="1" t="s">
        <v>25</v>
      </c>
      <c r="C55" s="3">
        <f>141639</f>
        <v>141639</v>
      </c>
      <c r="D55" s="3">
        <v>691400</v>
      </c>
      <c r="E55" s="3">
        <v>555500</v>
      </c>
      <c r="F55" s="3">
        <v>555500</v>
      </c>
      <c r="G55" s="31">
        <v>555500</v>
      </c>
      <c r="H55" s="36"/>
    </row>
    <row r="56" spans="1:8" x14ac:dyDescent="0.25">
      <c r="A56" s="7" t="s">
        <v>16</v>
      </c>
      <c r="B56" s="1" t="s">
        <v>27</v>
      </c>
      <c r="C56" s="3">
        <f>798</f>
        <v>798</v>
      </c>
      <c r="D56" s="3">
        <v>1200</v>
      </c>
      <c r="E56" s="3">
        <v>850</v>
      </c>
      <c r="F56" s="3">
        <v>850</v>
      </c>
      <c r="G56" s="31">
        <v>850</v>
      </c>
      <c r="H56" s="36"/>
    </row>
    <row r="57" spans="1:8" x14ac:dyDescent="0.25">
      <c r="A57" s="7" t="s">
        <v>17</v>
      </c>
      <c r="B57" s="1" t="s">
        <v>28</v>
      </c>
      <c r="C57" s="3"/>
      <c r="D57" s="3">
        <v>7000</v>
      </c>
      <c r="E57" s="3">
        <v>5000</v>
      </c>
      <c r="F57" s="3">
        <v>5000</v>
      </c>
      <c r="G57" s="31">
        <v>5000</v>
      </c>
      <c r="H57" s="36"/>
    </row>
    <row r="58" spans="1:8" x14ac:dyDescent="0.25">
      <c r="A58" s="7" t="s">
        <v>20</v>
      </c>
      <c r="B58" s="1" t="s">
        <v>32</v>
      </c>
      <c r="C58" s="3"/>
      <c r="D58" s="3">
        <v>13000</v>
      </c>
      <c r="E58" s="3">
        <v>18340</v>
      </c>
      <c r="F58" s="3">
        <v>18340</v>
      </c>
      <c r="G58" s="31">
        <v>18340</v>
      </c>
      <c r="H58" s="36"/>
    </row>
    <row r="59" spans="1:8" x14ac:dyDescent="0.25">
      <c r="A59" s="15">
        <v>4</v>
      </c>
      <c r="B59" s="16" t="s">
        <v>46</v>
      </c>
      <c r="C59" s="17">
        <f>SUM(C60:C75)</f>
        <v>325635</v>
      </c>
      <c r="D59" s="17">
        <f>SUM(D60:D61)</f>
        <v>432000</v>
      </c>
      <c r="E59" s="17">
        <f>SUM(E60:E61)</f>
        <v>11930</v>
      </c>
      <c r="F59" s="17">
        <f t="shared" ref="F59:G59" si="30">SUM(F60:F61)</f>
        <v>11930</v>
      </c>
      <c r="G59" s="35">
        <f t="shared" si="30"/>
        <v>11930</v>
      </c>
      <c r="H59" s="36"/>
    </row>
    <row r="60" spans="1:8" x14ac:dyDescent="0.25">
      <c r="A60" s="7" t="s">
        <v>18</v>
      </c>
      <c r="B60" s="1" t="s">
        <v>36</v>
      </c>
      <c r="C60" s="3">
        <f>287244</f>
        <v>287244</v>
      </c>
      <c r="D60" s="3">
        <v>310000</v>
      </c>
      <c r="E60" s="3"/>
      <c r="F60" s="3"/>
      <c r="G60" s="31"/>
      <c r="H60" s="36"/>
    </row>
    <row r="61" spans="1:8" x14ac:dyDescent="0.25">
      <c r="A61" s="7" t="s">
        <v>19</v>
      </c>
      <c r="B61" s="1" t="s">
        <v>29</v>
      </c>
      <c r="C61" s="3">
        <f>38327+64</f>
        <v>38391</v>
      </c>
      <c r="D61" s="3">
        <v>122000</v>
      </c>
      <c r="E61" s="3">
        <v>11930</v>
      </c>
      <c r="F61" s="3">
        <v>11930</v>
      </c>
      <c r="G61" s="31">
        <v>11930</v>
      </c>
      <c r="H61" s="36"/>
    </row>
    <row r="62" spans="1:8" x14ac:dyDescent="0.25">
      <c r="A62" s="15" t="s">
        <v>53</v>
      </c>
      <c r="B62" s="16" t="s">
        <v>54</v>
      </c>
      <c r="C62" s="17">
        <f>C63+C71</f>
        <v>0</v>
      </c>
      <c r="D62" s="17">
        <f t="shared" ref="D62" si="31">D63+D71</f>
        <v>0</v>
      </c>
      <c r="E62" s="17">
        <f t="shared" ref="E62" si="32">E63+E71</f>
        <v>24770</v>
      </c>
      <c r="F62" s="17">
        <f t="shared" ref="F62" si="33">F63+F71</f>
        <v>6695</v>
      </c>
      <c r="G62" s="35">
        <f t="shared" ref="G62" si="34">G63+G71</f>
        <v>2232</v>
      </c>
      <c r="H62" s="36">
        <f>E62/E16%</f>
        <v>0.2489981768950601</v>
      </c>
    </row>
    <row r="63" spans="1:8" x14ac:dyDescent="0.25">
      <c r="A63" s="15">
        <v>3</v>
      </c>
      <c r="B63" s="16" t="s">
        <v>44</v>
      </c>
      <c r="C63" s="17">
        <f>SUM(C64:C70)</f>
        <v>0</v>
      </c>
      <c r="D63" s="17">
        <f t="shared" ref="D63" si="35">SUM(D64:D70)</f>
        <v>0</v>
      </c>
      <c r="E63" s="17">
        <f t="shared" ref="E63" si="36">SUM(E64:E70)</f>
        <v>24770</v>
      </c>
      <c r="F63" s="17">
        <f t="shared" ref="F63" si="37">SUM(F64:F70)</f>
        <v>6695</v>
      </c>
      <c r="G63" s="35">
        <f t="shared" ref="G63" si="38">SUM(G64:G70)</f>
        <v>2232</v>
      </c>
      <c r="H63" s="36"/>
    </row>
    <row r="64" spans="1:8" x14ac:dyDescent="0.25">
      <c r="A64" s="7" t="s">
        <v>8</v>
      </c>
      <c r="B64" s="1" t="s">
        <v>26</v>
      </c>
      <c r="C64" s="3"/>
      <c r="D64" s="3"/>
      <c r="E64" s="3">
        <v>22322</v>
      </c>
      <c r="F64" s="3">
        <v>6695</v>
      </c>
      <c r="G64" s="31">
        <v>2232</v>
      </c>
      <c r="H64" s="36"/>
    </row>
    <row r="65" spans="1:8" x14ac:dyDescent="0.25">
      <c r="A65" s="7" t="s">
        <v>15</v>
      </c>
      <c r="B65" s="1" t="s">
        <v>25</v>
      </c>
      <c r="C65" s="3"/>
      <c r="D65" s="3"/>
      <c r="E65" s="3"/>
      <c r="F65" s="3"/>
      <c r="G65" s="31"/>
      <c r="H65" s="36"/>
    </row>
    <row r="66" spans="1:8" x14ac:dyDescent="0.25">
      <c r="A66" s="7" t="s">
        <v>16</v>
      </c>
      <c r="B66" s="1" t="s">
        <v>27</v>
      </c>
      <c r="C66" s="3"/>
      <c r="D66" s="3"/>
      <c r="E66" s="3"/>
      <c r="F66" s="3"/>
      <c r="G66" s="31"/>
      <c r="H66" s="36"/>
    </row>
    <row r="67" spans="1:8" x14ac:dyDescent="0.25">
      <c r="A67" s="7" t="s">
        <v>23</v>
      </c>
      <c r="B67" s="1" t="s">
        <v>33</v>
      </c>
      <c r="C67" s="3"/>
      <c r="D67" s="3"/>
      <c r="E67" s="3"/>
      <c r="F67" s="3"/>
      <c r="G67" s="31"/>
      <c r="H67" s="36"/>
    </row>
    <row r="68" spans="1:8" x14ac:dyDescent="0.25">
      <c r="A68" s="7" t="s">
        <v>22</v>
      </c>
      <c r="B68" s="1" t="s">
        <v>31</v>
      </c>
      <c r="C68" s="3"/>
      <c r="D68" s="3"/>
      <c r="E68" s="3"/>
      <c r="F68" s="3"/>
      <c r="G68" s="31"/>
      <c r="H68" s="36"/>
    </row>
    <row r="69" spans="1:8" x14ac:dyDescent="0.25">
      <c r="A69" s="7" t="s">
        <v>17</v>
      </c>
      <c r="B69" s="1" t="s">
        <v>28</v>
      </c>
      <c r="C69" s="3"/>
      <c r="D69" s="3"/>
      <c r="E69" s="3">
        <v>2448</v>
      </c>
      <c r="F69" s="3"/>
      <c r="G69" s="31"/>
      <c r="H69" s="36"/>
    </row>
    <row r="70" spans="1:8" x14ac:dyDescent="0.25">
      <c r="A70" s="7" t="s">
        <v>20</v>
      </c>
      <c r="B70" s="1" t="s">
        <v>32</v>
      </c>
      <c r="C70" s="3"/>
      <c r="D70" s="3"/>
      <c r="E70" s="3"/>
      <c r="F70" s="3"/>
      <c r="G70" s="31"/>
      <c r="H70" s="36"/>
    </row>
    <row r="71" spans="1:8" x14ac:dyDescent="0.25">
      <c r="A71" s="15">
        <v>4</v>
      </c>
      <c r="B71" s="16" t="s">
        <v>46</v>
      </c>
      <c r="C71" s="17">
        <f>SUM(C72:C74)</f>
        <v>0</v>
      </c>
      <c r="D71" s="17">
        <f t="shared" ref="D71" si="39">SUM(D72:D74)</f>
        <v>0</v>
      </c>
      <c r="E71" s="17">
        <f t="shared" ref="E71" si="40">SUM(E72:E74)</f>
        <v>0</v>
      </c>
      <c r="F71" s="17">
        <f t="shared" ref="F71" si="41">SUM(F72:F74)</f>
        <v>0</v>
      </c>
      <c r="G71" s="35">
        <f t="shared" ref="G71" si="42">SUM(G72:G74)</f>
        <v>0</v>
      </c>
      <c r="H71" s="36"/>
    </row>
    <row r="72" spans="1:8" x14ac:dyDescent="0.25">
      <c r="A72" s="7" t="s">
        <v>18</v>
      </c>
      <c r="B72" s="1" t="s">
        <v>36</v>
      </c>
      <c r="C72" s="3"/>
      <c r="D72" s="3"/>
      <c r="E72" s="3"/>
      <c r="F72" s="3"/>
      <c r="G72" s="31"/>
      <c r="H72" s="36"/>
    </row>
    <row r="73" spans="1:8" x14ac:dyDescent="0.25">
      <c r="A73" s="7" t="s">
        <v>19</v>
      </c>
      <c r="B73" s="1" t="s">
        <v>29</v>
      </c>
      <c r="C73" s="3"/>
      <c r="D73" s="3"/>
      <c r="E73" s="3"/>
      <c r="F73" s="3"/>
      <c r="G73" s="31"/>
      <c r="H73" s="36"/>
    </row>
    <row r="74" spans="1:8" x14ac:dyDescent="0.25">
      <c r="A74" s="7" t="s">
        <v>21</v>
      </c>
      <c r="B74" s="1" t="s">
        <v>30</v>
      </c>
      <c r="C74" s="3"/>
      <c r="D74" s="3"/>
      <c r="E74" s="3"/>
      <c r="F74" s="3"/>
      <c r="G74" s="31"/>
      <c r="H74" s="36"/>
    </row>
    <row r="75" spans="1:8" x14ac:dyDescent="0.25">
      <c r="A75" s="15" t="s">
        <v>5</v>
      </c>
      <c r="B75" s="16" t="s">
        <v>55</v>
      </c>
      <c r="C75" s="17">
        <f>C76+C84</f>
        <v>0</v>
      </c>
      <c r="D75" s="17">
        <f t="shared" ref="D75:G75" si="43">D76+D84</f>
        <v>47832</v>
      </c>
      <c r="E75" s="17">
        <f t="shared" si="43"/>
        <v>0</v>
      </c>
      <c r="F75" s="17">
        <f t="shared" si="43"/>
        <v>0</v>
      </c>
      <c r="G75" s="35">
        <f t="shared" si="43"/>
        <v>0</v>
      </c>
      <c r="H75" s="36">
        <f>E75/E16%</f>
        <v>0</v>
      </c>
    </row>
    <row r="76" spans="1:8" x14ac:dyDescent="0.25">
      <c r="A76" s="15">
        <v>3</v>
      </c>
      <c r="B76" s="16" t="s">
        <v>44</v>
      </c>
      <c r="C76" s="17">
        <f>SUM(C77:C83)</f>
        <v>0</v>
      </c>
      <c r="D76" s="17">
        <f t="shared" ref="D76:G76" si="44">SUM(D77:D83)</f>
        <v>47832</v>
      </c>
      <c r="E76" s="17">
        <f t="shared" si="44"/>
        <v>0</v>
      </c>
      <c r="F76" s="17">
        <f t="shared" si="44"/>
        <v>0</v>
      </c>
      <c r="G76" s="35">
        <f t="shared" si="44"/>
        <v>0</v>
      </c>
      <c r="H76" s="36"/>
    </row>
    <row r="77" spans="1:8" x14ac:dyDescent="0.25">
      <c r="A77" s="7" t="s">
        <v>8</v>
      </c>
      <c r="B77" s="1" t="s">
        <v>26</v>
      </c>
      <c r="C77" s="3"/>
      <c r="D77" s="3">
        <v>33332</v>
      </c>
      <c r="E77" s="3"/>
      <c r="F77" s="3"/>
      <c r="G77" s="31"/>
      <c r="H77" s="36"/>
    </row>
    <row r="78" spans="1:8" x14ac:dyDescent="0.25">
      <c r="A78" s="7" t="s">
        <v>15</v>
      </c>
      <c r="B78" s="1" t="s">
        <v>25</v>
      </c>
      <c r="C78" s="3"/>
      <c r="D78" s="3">
        <v>14500</v>
      </c>
      <c r="E78" s="3"/>
      <c r="F78" s="3"/>
      <c r="G78" s="31"/>
      <c r="H78" s="36"/>
    </row>
    <row r="79" spans="1:8" x14ac:dyDescent="0.25">
      <c r="A79" s="7" t="s">
        <v>16</v>
      </c>
      <c r="B79" s="1" t="s">
        <v>27</v>
      </c>
      <c r="C79" s="3"/>
      <c r="D79" s="3"/>
      <c r="E79" s="3"/>
      <c r="F79" s="3"/>
      <c r="G79" s="31"/>
      <c r="H79" s="36"/>
    </row>
    <row r="80" spans="1:8" x14ac:dyDescent="0.25">
      <c r="A80" s="7" t="s">
        <v>23</v>
      </c>
      <c r="B80" s="1" t="s">
        <v>33</v>
      </c>
      <c r="C80" s="3"/>
      <c r="D80" s="3"/>
      <c r="E80" s="3"/>
      <c r="F80" s="3"/>
      <c r="G80" s="31"/>
      <c r="H80" s="36"/>
    </row>
    <row r="81" spans="1:8" x14ac:dyDescent="0.25">
      <c r="A81" s="7" t="s">
        <v>22</v>
      </c>
      <c r="B81" s="1" t="s">
        <v>31</v>
      </c>
      <c r="C81" s="3"/>
      <c r="D81" s="3"/>
      <c r="E81" s="3"/>
      <c r="F81" s="3"/>
      <c r="G81" s="31"/>
      <c r="H81" s="36"/>
    </row>
    <row r="82" spans="1:8" x14ac:dyDescent="0.25">
      <c r="A82" s="7" t="s">
        <v>17</v>
      </c>
      <c r="B82" s="1" t="s">
        <v>28</v>
      </c>
      <c r="C82" s="3"/>
      <c r="D82" s="3"/>
      <c r="E82" s="3"/>
      <c r="F82" s="3"/>
      <c r="G82" s="31"/>
      <c r="H82" s="36"/>
    </row>
    <row r="83" spans="1:8" x14ac:dyDescent="0.25">
      <c r="A83" s="7" t="s">
        <v>20</v>
      </c>
      <c r="B83" s="1" t="s">
        <v>32</v>
      </c>
      <c r="C83" s="3"/>
      <c r="D83" s="3"/>
      <c r="E83" s="3"/>
      <c r="F83" s="3"/>
      <c r="G83" s="31"/>
      <c r="H83" s="36"/>
    </row>
    <row r="84" spans="1:8" x14ac:dyDescent="0.25">
      <c r="A84" s="15">
        <v>4</v>
      </c>
      <c r="B84" s="16" t="s">
        <v>46</v>
      </c>
      <c r="C84" s="17">
        <f>SUM(C85:C87)</f>
        <v>0</v>
      </c>
      <c r="D84" s="17">
        <f t="shared" ref="D84" si="45">SUM(D85:D87)</f>
        <v>0</v>
      </c>
      <c r="E84" s="17">
        <f t="shared" ref="E84" si="46">SUM(E85:E87)</f>
        <v>0</v>
      </c>
      <c r="F84" s="17">
        <f t="shared" ref="F84" si="47">SUM(F85:F87)</f>
        <v>0</v>
      </c>
      <c r="G84" s="35">
        <f t="shared" ref="G84" si="48">SUM(G85:G87)</f>
        <v>0</v>
      </c>
      <c r="H84" s="36"/>
    </row>
    <row r="85" spans="1:8" x14ac:dyDescent="0.25">
      <c r="A85" s="7" t="s">
        <v>18</v>
      </c>
      <c r="B85" s="1" t="s">
        <v>36</v>
      </c>
      <c r="C85" s="3"/>
      <c r="D85" s="3"/>
      <c r="E85" s="3"/>
      <c r="F85" s="3"/>
      <c r="G85" s="31"/>
      <c r="H85" s="36"/>
    </row>
    <row r="86" spans="1:8" x14ac:dyDescent="0.25">
      <c r="A86" s="7" t="s">
        <v>19</v>
      </c>
      <c r="B86" s="1" t="s">
        <v>29</v>
      </c>
      <c r="C86" s="3"/>
      <c r="D86" s="3"/>
      <c r="E86" s="3"/>
      <c r="F86" s="3"/>
      <c r="G86" s="31"/>
      <c r="H86" s="36"/>
    </row>
    <row r="87" spans="1:8" x14ac:dyDescent="0.25">
      <c r="A87" s="7" t="s">
        <v>21</v>
      </c>
      <c r="B87" s="1" t="s">
        <v>30</v>
      </c>
      <c r="C87" s="3"/>
      <c r="D87" s="3"/>
      <c r="E87" s="3"/>
      <c r="F87" s="3"/>
      <c r="G87" s="31"/>
      <c r="H87" s="36"/>
    </row>
    <row r="88" spans="1:8" x14ac:dyDescent="0.25">
      <c r="A88" s="15" t="s">
        <v>35</v>
      </c>
      <c r="B88" s="16" t="s">
        <v>6</v>
      </c>
      <c r="C88" s="17">
        <f>C89+C96</f>
        <v>190376</v>
      </c>
      <c r="D88" s="17">
        <f t="shared" ref="D88:G88" si="49">D89+D96</f>
        <v>332199</v>
      </c>
      <c r="E88" s="17">
        <f t="shared" si="49"/>
        <v>5490</v>
      </c>
      <c r="F88" s="17">
        <f t="shared" si="49"/>
        <v>4500</v>
      </c>
      <c r="G88" s="35">
        <f t="shared" si="49"/>
        <v>0</v>
      </c>
      <c r="H88" s="36">
        <f>E88/E16%</f>
        <v>5.5187726732090429E-2</v>
      </c>
    </row>
    <row r="89" spans="1:8" x14ac:dyDescent="0.25">
      <c r="A89" s="15">
        <v>3</v>
      </c>
      <c r="B89" s="16" t="s">
        <v>44</v>
      </c>
      <c r="C89" s="17">
        <f>SUM(C90:C95)</f>
        <v>177574</v>
      </c>
      <c r="D89" s="17">
        <f t="shared" ref="D89:G89" si="50">SUM(D90:D95)</f>
        <v>325199</v>
      </c>
      <c r="E89" s="17">
        <f t="shared" si="50"/>
        <v>5490</v>
      </c>
      <c r="F89" s="17">
        <f t="shared" si="50"/>
        <v>4500</v>
      </c>
      <c r="G89" s="35">
        <f t="shared" si="50"/>
        <v>0</v>
      </c>
      <c r="H89" s="36"/>
    </row>
    <row r="90" spans="1:8" x14ac:dyDescent="0.25">
      <c r="A90" s="7" t="s">
        <v>8</v>
      </c>
      <c r="B90" s="1" t="s">
        <v>26</v>
      </c>
      <c r="C90" s="3">
        <v>35304</v>
      </c>
      <c r="D90" s="3">
        <f>73351</f>
        <v>73351</v>
      </c>
      <c r="E90" s="3"/>
      <c r="F90" s="3"/>
      <c r="G90" s="31"/>
      <c r="H90" s="36"/>
    </row>
    <row r="91" spans="1:8" x14ac:dyDescent="0.25">
      <c r="A91" s="7" t="s">
        <v>15</v>
      </c>
      <c r="B91" s="1" t="s">
        <v>25</v>
      </c>
      <c r="C91" s="3">
        <f>80196+59771</f>
        <v>139967</v>
      </c>
      <c r="D91" s="3">
        <f>73239+6000+169739</f>
        <v>248978</v>
      </c>
      <c r="E91" s="3">
        <v>5490</v>
      </c>
      <c r="F91" s="3">
        <v>4500</v>
      </c>
      <c r="G91" s="31"/>
      <c r="H91" s="36"/>
    </row>
    <row r="92" spans="1:8" x14ac:dyDescent="0.25">
      <c r="A92" s="7" t="s">
        <v>16</v>
      </c>
      <c r="B92" s="1" t="s">
        <v>27</v>
      </c>
      <c r="C92" s="3">
        <f>71+32</f>
        <v>103</v>
      </c>
      <c r="D92" s="3">
        <f>200+222</f>
        <v>422</v>
      </c>
      <c r="E92" s="3"/>
      <c r="F92" s="3"/>
      <c r="G92" s="31"/>
      <c r="H92" s="36"/>
    </row>
    <row r="93" spans="1:8" x14ac:dyDescent="0.25">
      <c r="A93" s="7" t="s">
        <v>22</v>
      </c>
      <c r="B93" s="1" t="s">
        <v>31</v>
      </c>
      <c r="C93" s="3"/>
      <c r="D93" s="3"/>
      <c r="E93" s="3"/>
      <c r="F93" s="3"/>
      <c r="G93" s="31"/>
      <c r="H93" s="36"/>
    </row>
    <row r="94" spans="1:8" x14ac:dyDescent="0.25">
      <c r="A94" s="7" t="s">
        <v>17</v>
      </c>
      <c r="B94" s="1" t="s">
        <v>28</v>
      </c>
      <c r="C94" s="3">
        <v>2200</v>
      </c>
      <c r="D94" s="3">
        <v>2448</v>
      </c>
      <c r="E94" s="3"/>
      <c r="F94" s="3"/>
      <c r="G94" s="31"/>
      <c r="H94" s="36"/>
    </row>
    <row r="95" spans="1:8" x14ac:dyDescent="0.25">
      <c r="A95" s="7" t="s">
        <v>20</v>
      </c>
      <c r="B95" s="1" t="s">
        <v>32</v>
      </c>
      <c r="C95" s="3"/>
      <c r="D95" s="3"/>
      <c r="E95" s="3"/>
      <c r="F95" s="3"/>
      <c r="G95" s="31"/>
      <c r="H95" s="36"/>
    </row>
    <row r="96" spans="1:8" x14ac:dyDescent="0.25">
      <c r="A96" s="15">
        <v>4</v>
      </c>
      <c r="B96" s="16" t="s">
        <v>46</v>
      </c>
      <c r="C96" s="17">
        <f>SUM(C97:C99)</f>
        <v>12802</v>
      </c>
      <c r="D96" s="17">
        <f t="shared" ref="D96:G96" si="51">SUM(D97:D99)</f>
        <v>7000</v>
      </c>
      <c r="E96" s="17">
        <f t="shared" si="51"/>
        <v>0</v>
      </c>
      <c r="F96" s="17">
        <f t="shared" si="51"/>
        <v>0</v>
      </c>
      <c r="G96" s="35">
        <f t="shared" si="51"/>
        <v>0</v>
      </c>
      <c r="H96" s="36"/>
    </row>
    <row r="97" spans="1:8" x14ac:dyDescent="0.25">
      <c r="A97" s="7" t="s">
        <v>18</v>
      </c>
      <c r="B97" s="1" t="s">
        <v>36</v>
      </c>
      <c r="C97" s="3"/>
      <c r="D97" s="3"/>
      <c r="E97" s="3"/>
      <c r="F97" s="3"/>
      <c r="G97" s="31"/>
      <c r="H97" s="36"/>
    </row>
    <row r="98" spans="1:8" x14ac:dyDescent="0.25">
      <c r="A98" s="7" t="s">
        <v>19</v>
      </c>
      <c r="B98" s="1" t="s">
        <v>29</v>
      </c>
      <c r="C98" s="3">
        <f>1772+11030</f>
        <v>12802</v>
      </c>
      <c r="D98" s="3">
        <f>2000+2000+1500+800+400+300</f>
        <v>7000</v>
      </c>
      <c r="E98" s="3"/>
      <c r="F98" s="3"/>
      <c r="G98" s="31"/>
      <c r="H98" s="36"/>
    </row>
    <row r="99" spans="1:8" x14ac:dyDescent="0.25">
      <c r="A99" s="7" t="s">
        <v>21</v>
      </c>
      <c r="B99" s="1" t="s">
        <v>30</v>
      </c>
      <c r="C99" s="3"/>
      <c r="D99" s="3"/>
      <c r="E99" s="3"/>
      <c r="F99" s="3"/>
      <c r="G99" s="31"/>
      <c r="H99" s="36"/>
    </row>
    <row r="100" spans="1:8" x14ac:dyDescent="0.25">
      <c r="A100" s="15" t="s">
        <v>56</v>
      </c>
      <c r="B100" s="16" t="s">
        <v>57</v>
      </c>
      <c r="C100" s="17">
        <f>C101+C108</f>
        <v>0</v>
      </c>
      <c r="D100" s="17">
        <f t="shared" ref="D100" si="52">D101+D108</f>
        <v>0</v>
      </c>
      <c r="E100" s="17">
        <f t="shared" ref="E100" si="53">E101+E108</f>
        <v>133820</v>
      </c>
      <c r="F100" s="17">
        <f t="shared" ref="F100" si="54">F101+F108</f>
        <v>152660</v>
      </c>
      <c r="G100" s="35">
        <f t="shared" ref="G100" si="55">G101+G108</f>
        <v>58166</v>
      </c>
      <c r="H100" s="36">
        <f>E100/E16%</f>
        <v>1.3452134046062552</v>
      </c>
    </row>
    <row r="101" spans="1:8" x14ac:dyDescent="0.25">
      <c r="A101" s="15">
        <v>3</v>
      </c>
      <c r="B101" s="16" t="s">
        <v>44</v>
      </c>
      <c r="C101" s="17">
        <f>SUM(C102:C107)</f>
        <v>0</v>
      </c>
      <c r="D101" s="17">
        <f t="shared" ref="D101" si="56">SUM(D102:D107)</f>
        <v>0</v>
      </c>
      <c r="E101" s="17">
        <f t="shared" ref="E101" si="57">SUM(E102:E107)</f>
        <v>133820</v>
      </c>
      <c r="F101" s="17">
        <f t="shared" ref="F101" si="58">SUM(F102:F107)</f>
        <v>152660</v>
      </c>
      <c r="G101" s="35">
        <f t="shared" ref="G101" si="59">SUM(G102:G107)</f>
        <v>58166</v>
      </c>
      <c r="H101" s="36"/>
    </row>
    <row r="102" spans="1:8" x14ac:dyDescent="0.25">
      <c r="A102" s="7" t="s">
        <v>8</v>
      </c>
      <c r="B102" s="1" t="s">
        <v>26</v>
      </c>
      <c r="C102" s="3"/>
      <c r="D102" s="3"/>
      <c r="E102" s="3">
        <f>28660+42144+600+6954</f>
        <v>78358</v>
      </c>
      <c r="F102" s="3">
        <f>28660+49698</f>
        <v>78358</v>
      </c>
      <c r="G102" s="31">
        <v>16966</v>
      </c>
      <c r="H102" s="36"/>
    </row>
    <row r="103" spans="1:8" x14ac:dyDescent="0.25">
      <c r="A103" s="7" t="s">
        <v>15</v>
      </c>
      <c r="B103" s="1" t="s">
        <v>25</v>
      </c>
      <c r="C103" s="3"/>
      <c r="D103" s="3"/>
      <c r="E103" s="3">
        <f>4600+5202+15500+30060</f>
        <v>55362</v>
      </c>
      <c r="F103" s="3">
        <f>3000+5202+66000</f>
        <v>74202</v>
      </c>
      <c r="G103" s="31">
        <f>3000+38200</f>
        <v>41200</v>
      </c>
      <c r="H103" s="36"/>
    </row>
    <row r="104" spans="1:8" x14ac:dyDescent="0.25">
      <c r="A104" s="7" t="s">
        <v>16</v>
      </c>
      <c r="B104" s="1" t="s">
        <v>27</v>
      </c>
      <c r="C104" s="3"/>
      <c r="D104" s="3"/>
      <c r="E104" s="3">
        <v>100</v>
      </c>
      <c r="F104" s="3">
        <v>100</v>
      </c>
      <c r="G104" s="31"/>
      <c r="H104" s="36"/>
    </row>
    <row r="105" spans="1:8" x14ac:dyDescent="0.25">
      <c r="A105" s="7" t="s">
        <v>22</v>
      </c>
      <c r="B105" s="1" t="s">
        <v>31</v>
      </c>
      <c r="C105" s="3"/>
      <c r="D105" s="3"/>
      <c r="E105" s="3"/>
      <c r="F105" s="3"/>
      <c r="G105" s="31"/>
      <c r="H105" s="36"/>
    </row>
    <row r="106" spans="1:8" x14ac:dyDescent="0.25">
      <c r="A106" s="7" t="s">
        <v>17</v>
      </c>
      <c r="B106" s="1" t="s">
        <v>28</v>
      </c>
      <c r="C106" s="3"/>
      <c r="D106" s="3"/>
      <c r="E106" s="3"/>
      <c r="F106" s="3"/>
      <c r="G106" s="31"/>
      <c r="H106" s="36"/>
    </row>
    <row r="107" spans="1:8" x14ac:dyDescent="0.25">
      <c r="A107" s="7" t="s">
        <v>20</v>
      </c>
      <c r="B107" s="1" t="s">
        <v>32</v>
      </c>
      <c r="C107" s="3"/>
      <c r="D107" s="3"/>
      <c r="E107" s="3"/>
      <c r="F107" s="3"/>
      <c r="G107" s="31"/>
      <c r="H107" s="36"/>
    </row>
    <row r="108" spans="1:8" x14ac:dyDescent="0.25">
      <c r="A108" s="15">
        <v>4</v>
      </c>
      <c r="B108" s="16" t="s">
        <v>46</v>
      </c>
      <c r="C108" s="17">
        <f>SUM(C109:C111)</f>
        <v>0</v>
      </c>
      <c r="D108" s="17">
        <f t="shared" ref="D108" si="60">SUM(D109:D111)</f>
        <v>0</v>
      </c>
      <c r="E108" s="17">
        <f t="shared" ref="E108" si="61">SUM(E109:E111)</f>
        <v>0</v>
      </c>
      <c r="F108" s="17">
        <f t="shared" ref="F108" si="62">SUM(F109:F111)</f>
        <v>0</v>
      </c>
      <c r="G108" s="35">
        <f t="shared" ref="G108" si="63">SUM(G109:G111)</f>
        <v>0</v>
      </c>
      <c r="H108" s="36"/>
    </row>
    <row r="109" spans="1:8" x14ac:dyDescent="0.25">
      <c r="A109" s="7" t="s">
        <v>18</v>
      </c>
      <c r="B109" s="1" t="s">
        <v>36</v>
      </c>
      <c r="C109" s="3"/>
      <c r="D109" s="3"/>
      <c r="E109" s="3"/>
      <c r="F109" s="3"/>
      <c r="G109" s="31"/>
      <c r="H109" s="36"/>
    </row>
    <row r="110" spans="1:8" x14ac:dyDescent="0.25">
      <c r="A110" s="7" t="s">
        <v>19</v>
      </c>
      <c r="B110" s="1" t="s">
        <v>29</v>
      </c>
      <c r="C110" s="3"/>
      <c r="D110" s="3"/>
      <c r="E110" s="3"/>
      <c r="F110" s="3"/>
      <c r="G110" s="31"/>
      <c r="H110" s="36"/>
    </row>
    <row r="111" spans="1:8" x14ac:dyDescent="0.25">
      <c r="A111" s="7" t="s">
        <v>21</v>
      </c>
      <c r="B111" s="1" t="s">
        <v>30</v>
      </c>
      <c r="C111" s="3"/>
      <c r="D111" s="3"/>
      <c r="E111" s="3"/>
      <c r="F111" s="3"/>
      <c r="G111" s="31"/>
      <c r="H111" s="36"/>
    </row>
    <row r="112" spans="1:8" x14ac:dyDescent="0.25">
      <c r="A112" s="15">
        <v>561</v>
      </c>
      <c r="B112" s="16" t="s">
        <v>58</v>
      </c>
      <c r="C112" s="17">
        <f>C113+C120</f>
        <v>0</v>
      </c>
      <c r="D112" s="17">
        <f t="shared" ref="D112" si="64">D113+D120</f>
        <v>0</v>
      </c>
      <c r="E112" s="17">
        <f t="shared" ref="E112" si="65">E113+E120</f>
        <v>3330</v>
      </c>
      <c r="F112" s="17">
        <f t="shared" ref="F112" si="66">F113+F120</f>
        <v>876</v>
      </c>
      <c r="G112" s="35">
        <f t="shared" ref="G112" si="67">G113+G120</f>
        <v>0</v>
      </c>
      <c r="H112" s="36">
        <f>E112/E16%</f>
        <v>3.3474522771923698E-2</v>
      </c>
    </row>
    <row r="113" spans="1:8" x14ac:dyDescent="0.25">
      <c r="A113" s="15">
        <v>3</v>
      </c>
      <c r="B113" s="16" t="s">
        <v>44</v>
      </c>
      <c r="C113" s="17">
        <f>SUM(C114:C119)</f>
        <v>0</v>
      </c>
      <c r="D113" s="17">
        <f t="shared" ref="D113" si="68">SUM(D114:D119)</f>
        <v>0</v>
      </c>
      <c r="E113" s="17">
        <f t="shared" ref="E113" si="69">SUM(E114:E119)</f>
        <v>3330</v>
      </c>
      <c r="F113" s="17">
        <f t="shared" ref="F113" si="70">SUM(F114:F119)</f>
        <v>876</v>
      </c>
      <c r="G113" s="35">
        <f t="shared" ref="G113" si="71">SUM(G114:G119)</f>
        <v>0</v>
      </c>
      <c r="H113" s="36"/>
    </row>
    <row r="114" spans="1:8" x14ac:dyDescent="0.25">
      <c r="A114" s="7" t="s">
        <v>8</v>
      </c>
      <c r="B114" s="1" t="s">
        <v>26</v>
      </c>
      <c r="C114" s="3"/>
      <c r="D114" s="3"/>
      <c r="E114" s="3">
        <f>1282</f>
        <v>1282</v>
      </c>
      <c r="F114" s="3">
        <v>466</v>
      </c>
      <c r="G114" s="31"/>
      <c r="H114" s="36"/>
    </row>
    <row r="115" spans="1:8" x14ac:dyDescent="0.25">
      <c r="A115" s="7" t="s">
        <v>15</v>
      </c>
      <c r="B115" s="1" t="s">
        <v>25</v>
      </c>
      <c r="C115" s="3"/>
      <c r="D115" s="3"/>
      <c r="E115" s="3">
        <f>907+1141</f>
        <v>2048</v>
      </c>
      <c r="F115" s="3">
        <v>410</v>
      </c>
      <c r="G115" s="31"/>
      <c r="H115" s="36"/>
    </row>
    <row r="116" spans="1:8" x14ac:dyDescent="0.25">
      <c r="A116" s="7" t="s">
        <v>16</v>
      </c>
      <c r="B116" s="1" t="s">
        <v>27</v>
      </c>
      <c r="C116" s="3"/>
      <c r="D116" s="3"/>
      <c r="E116" s="3"/>
      <c r="F116" s="3"/>
      <c r="G116" s="31"/>
      <c r="H116" s="36"/>
    </row>
    <row r="117" spans="1:8" x14ac:dyDescent="0.25">
      <c r="A117" s="7" t="s">
        <v>22</v>
      </c>
      <c r="B117" s="1" t="s">
        <v>31</v>
      </c>
      <c r="C117" s="3"/>
      <c r="D117" s="3"/>
      <c r="E117" s="3"/>
      <c r="F117" s="3"/>
      <c r="G117" s="31"/>
      <c r="H117" s="36"/>
    </row>
    <row r="118" spans="1:8" x14ac:dyDescent="0.25">
      <c r="A118" s="7" t="s">
        <v>17</v>
      </c>
      <c r="B118" s="1" t="s">
        <v>28</v>
      </c>
      <c r="C118" s="3"/>
      <c r="D118" s="3"/>
      <c r="E118" s="3"/>
      <c r="F118" s="3"/>
      <c r="G118" s="31"/>
      <c r="H118" s="36"/>
    </row>
    <row r="119" spans="1:8" x14ac:dyDescent="0.25">
      <c r="A119" s="7" t="s">
        <v>20</v>
      </c>
      <c r="B119" s="1" t="s">
        <v>32</v>
      </c>
      <c r="C119" s="3"/>
      <c r="D119" s="3"/>
      <c r="E119" s="3"/>
      <c r="F119" s="3"/>
      <c r="G119" s="31"/>
      <c r="H119" s="36"/>
    </row>
    <row r="120" spans="1:8" x14ac:dyDescent="0.25">
      <c r="A120" s="15">
        <v>4</v>
      </c>
      <c r="B120" s="16" t="s">
        <v>46</v>
      </c>
      <c r="C120" s="17">
        <f>SUM(C121:C123)</f>
        <v>0</v>
      </c>
      <c r="D120" s="17">
        <f t="shared" ref="D120" si="72">SUM(D121:D123)</f>
        <v>0</v>
      </c>
      <c r="E120" s="17">
        <f t="shared" ref="E120" si="73">SUM(E121:E123)</f>
        <v>0</v>
      </c>
      <c r="F120" s="17">
        <f t="shared" ref="F120" si="74">SUM(F121:F123)</f>
        <v>0</v>
      </c>
      <c r="G120" s="35">
        <f t="shared" ref="G120" si="75">SUM(G121:G123)</f>
        <v>0</v>
      </c>
      <c r="H120" s="36"/>
    </row>
    <row r="121" spans="1:8" x14ac:dyDescent="0.25">
      <c r="A121" s="7" t="s">
        <v>18</v>
      </c>
      <c r="B121" s="1" t="s">
        <v>36</v>
      </c>
      <c r="C121" s="3"/>
      <c r="D121" s="3"/>
      <c r="E121" s="3"/>
      <c r="F121" s="3"/>
      <c r="G121" s="31"/>
      <c r="H121" s="36"/>
    </row>
    <row r="122" spans="1:8" x14ac:dyDescent="0.25">
      <c r="A122" s="7" t="s">
        <v>19</v>
      </c>
      <c r="B122" s="1" t="s">
        <v>29</v>
      </c>
      <c r="C122" s="3"/>
      <c r="D122" s="3"/>
      <c r="E122" s="3"/>
      <c r="F122" s="3"/>
      <c r="G122" s="31"/>
      <c r="H122" s="36"/>
    </row>
    <row r="123" spans="1:8" x14ac:dyDescent="0.25">
      <c r="A123" s="7" t="s">
        <v>21</v>
      </c>
      <c r="B123" s="1" t="s">
        <v>30</v>
      </c>
      <c r="C123" s="3"/>
      <c r="D123" s="3"/>
      <c r="E123" s="3"/>
      <c r="F123" s="3"/>
      <c r="G123" s="31"/>
      <c r="H123" s="36"/>
    </row>
    <row r="124" spans="1:8" x14ac:dyDescent="0.25">
      <c r="A124" s="15" t="s">
        <v>41</v>
      </c>
      <c r="B124" s="16" t="s">
        <v>7</v>
      </c>
      <c r="C124" s="17">
        <f>C125+C129</f>
        <v>1711</v>
      </c>
      <c r="D124" s="17">
        <f t="shared" ref="D124:G124" si="76">D125+D129</f>
        <v>43723</v>
      </c>
      <c r="E124" s="17">
        <f t="shared" si="76"/>
        <v>4200</v>
      </c>
      <c r="F124" s="17">
        <f t="shared" si="76"/>
        <v>4700</v>
      </c>
      <c r="G124" s="35">
        <f t="shared" si="76"/>
        <v>4600</v>
      </c>
      <c r="H124" s="36">
        <f>E124/E16%</f>
        <v>4.2220118811435302E-2</v>
      </c>
    </row>
    <row r="125" spans="1:8" x14ac:dyDescent="0.25">
      <c r="A125" s="15">
        <v>3</v>
      </c>
      <c r="B125" s="16" t="s">
        <v>44</v>
      </c>
      <c r="C125" s="17">
        <f>SUM(C126:C128)</f>
        <v>1711</v>
      </c>
      <c r="D125" s="17">
        <f t="shared" ref="D125:G125" si="77">SUM(D126:D128)</f>
        <v>39723</v>
      </c>
      <c r="E125" s="17">
        <f t="shared" si="77"/>
        <v>4200</v>
      </c>
      <c r="F125" s="17">
        <f t="shared" si="77"/>
        <v>4700</v>
      </c>
      <c r="G125" s="35">
        <f t="shared" si="77"/>
        <v>4600</v>
      </c>
      <c r="H125" s="36"/>
    </row>
    <row r="126" spans="1:8" x14ac:dyDescent="0.25">
      <c r="A126" s="7" t="s">
        <v>8</v>
      </c>
      <c r="B126" s="1" t="s">
        <v>26</v>
      </c>
      <c r="C126" s="3"/>
      <c r="D126" s="3">
        <v>1631</v>
      </c>
      <c r="E126" s="3"/>
      <c r="F126" s="3"/>
      <c r="G126" s="31"/>
      <c r="H126" s="36"/>
    </row>
    <row r="127" spans="1:8" x14ac:dyDescent="0.25">
      <c r="A127" s="7" t="s">
        <v>15</v>
      </c>
      <c r="B127" s="1" t="s">
        <v>25</v>
      </c>
      <c r="C127" s="3">
        <v>1711</v>
      </c>
      <c r="D127" s="3">
        <f>26992+11100</f>
        <v>38092</v>
      </c>
      <c r="E127" s="3">
        <v>4200</v>
      </c>
      <c r="F127" s="3">
        <v>4700</v>
      </c>
      <c r="G127" s="31">
        <v>4600</v>
      </c>
      <c r="H127" s="36"/>
    </row>
    <row r="128" spans="1:8" x14ac:dyDescent="0.25">
      <c r="A128" s="7" t="s">
        <v>16</v>
      </c>
      <c r="B128" s="1" t="s">
        <v>27</v>
      </c>
      <c r="C128" s="3"/>
      <c r="D128" s="3"/>
      <c r="E128" s="3"/>
      <c r="F128" s="3"/>
      <c r="G128" s="31"/>
      <c r="H128" s="36"/>
    </row>
    <row r="129" spans="1:8" x14ac:dyDescent="0.25">
      <c r="A129" s="15">
        <v>4</v>
      </c>
      <c r="B129" s="16" t="s">
        <v>46</v>
      </c>
      <c r="C129" s="17">
        <f>SUM(C130:C132)</f>
        <v>0</v>
      </c>
      <c r="D129" s="17">
        <f t="shared" ref="D129:G129" si="78">SUM(D130:D132)</f>
        <v>4000</v>
      </c>
      <c r="E129" s="17">
        <f t="shared" si="78"/>
        <v>0</v>
      </c>
      <c r="F129" s="17">
        <f t="shared" si="78"/>
        <v>0</v>
      </c>
      <c r="G129" s="35">
        <f t="shared" si="78"/>
        <v>0</v>
      </c>
      <c r="H129" s="36"/>
    </row>
    <row r="130" spans="1:8" x14ac:dyDescent="0.25">
      <c r="A130" s="7" t="s">
        <v>18</v>
      </c>
      <c r="B130" s="1" t="s">
        <v>36</v>
      </c>
      <c r="C130" s="3"/>
      <c r="D130" s="3"/>
      <c r="E130" s="3"/>
      <c r="F130" s="3"/>
      <c r="G130" s="31"/>
      <c r="H130" s="36"/>
    </row>
    <row r="131" spans="1:8" x14ac:dyDescent="0.25">
      <c r="A131" s="7" t="s">
        <v>19</v>
      </c>
      <c r="B131" s="1" t="s">
        <v>29</v>
      </c>
      <c r="C131" s="3"/>
      <c r="D131" s="3">
        <v>4000</v>
      </c>
      <c r="E131" s="3"/>
      <c r="F131" s="3"/>
      <c r="G131" s="31"/>
      <c r="H131" s="36"/>
    </row>
    <row r="132" spans="1:8" x14ac:dyDescent="0.25">
      <c r="A132" s="7" t="s">
        <v>21</v>
      </c>
      <c r="B132" s="1" t="s">
        <v>30</v>
      </c>
      <c r="C132" s="3"/>
      <c r="D132" s="3"/>
      <c r="E132" s="3"/>
      <c r="F132" s="3"/>
      <c r="G132" s="31"/>
      <c r="H132" s="36"/>
    </row>
    <row r="133" spans="1:8" x14ac:dyDescent="0.25">
      <c r="A133" s="21" t="s">
        <v>11</v>
      </c>
      <c r="B133" s="16" t="s">
        <v>12</v>
      </c>
      <c r="C133" s="17">
        <f t="shared" ref="C133:D133" si="79">C134+C143</f>
        <v>0</v>
      </c>
      <c r="D133" s="17">
        <f t="shared" si="79"/>
        <v>0</v>
      </c>
      <c r="E133" s="17">
        <f>E134+E143</f>
        <v>17237</v>
      </c>
      <c r="F133" s="17">
        <f t="shared" ref="F133:G133" si="80">F134+F143</f>
        <v>0</v>
      </c>
      <c r="G133" s="35">
        <f t="shared" si="80"/>
        <v>0</v>
      </c>
      <c r="H133" s="36"/>
    </row>
    <row r="134" spans="1:8" x14ac:dyDescent="0.25">
      <c r="A134" s="15" t="s">
        <v>34</v>
      </c>
      <c r="B134" s="16" t="s">
        <v>1</v>
      </c>
      <c r="C134" s="17">
        <f t="shared" ref="C134:D134" si="81">C135+C141</f>
        <v>0</v>
      </c>
      <c r="D134" s="17">
        <f t="shared" si="81"/>
        <v>0</v>
      </c>
      <c r="E134" s="17">
        <f>E135+E141</f>
        <v>0</v>
      </c>
      <c r="F134" s="17">
        <f t="shared" ref="F134:G134" si="82">F135+F141</f>
        <v>0</v>
      </c>
      <c r="G134" s="35">
        <f t="shared" si="82"/>
        <v>0</v>
      </c>
      <c r="H134" s="36">
        <f>E134/E16%</f>
        <v>0</v>
      </c>
    </row>
    <row r="135" spans="1:8" x14ac:dyDescent="0.25">
      <c r="A135" s="15">
        <v>3</v>
      </c>
      <c r="B135" s="16" t="s">
        <v>44</v>
      </c>
      <c r="C135" s="17">
        <f t="shared" ref="C135:D135" si="83">SUM(C136:C140)</f>
        <v>0</v>
      </c>
      <c r="D135" s="17">
        <f t="shared" si="83"/>
        <v>0</v>
      </c>
      <c r="E135" s="17">
        <f>SUM(E136:E140)</f>
        <v>0</v>
      </c>
      <c r="F135" s="17">
        <f t="shared" ref="F135:G135" si="84">SUM(F136:F140)</f>
        <v>0</v>
      </c>
      <c r="G135" s="35">
        <f t="shared" si="84"/>
        <v>0</v>
      </c>
      <c r="H135" s="36"/>
    </row>
    <row r="136" spans="1:8" x14ac:dyDescent="0.25">
      <c r="A136" s="7" t="s">
        <v>8</v>
      </c>
      <c r="B136" s="1" t="s">
        <v>26</v>
      </c>
      <c r="C136" s="3"/>
      <c r="D136" s="3"/>
      <c r="E136" s="3"/>
      <c r="F136" s="3"/>
      <c r="G136" s="31"/>
      <c r="H136" s="36"/>
    </row>
    <row r="137" spans="1:8" x14ac:dyDescent="0.25">
      <c r="A137" s="7" t="s">
        <v>15</v>
      </c>
      <c r="B137" s="1" t="s">
        <v>25</v>
      </c>
      <c r="C137" s="3"/>
      <c r="D137" s="3"/>
      <c r="E137" s="3"/>
      <c r="F137" s="3"/>
      <c r="G137" s="31"/>
      <c r="H137" s="36"/>
    </row>
    <row r="138" spans="1:8" x14ac:dyDescent="0.25">
      <c r="A138" s="7" t="s">
        <v>23</v>
      </c>
      <c r="B138" s="1" t="s">
        <v>33</v>
      </c>
      <c r="C138" s="3"/>
      <c r="D138" s="3"/>
      <c r="E138" s="3"/>
      <c r="F138" s="3"/>
      <c r="G138" s="31"/>
      <c r="H138" s="36"/>
    </row>
    <row r="139" spans="1:8" x14ac:dyDescent="0.25">
      <c r="A139" s="7" t="s">
        <v>22</v>
      </c>
      <c r="B139" s="1" t="s">
        <v>31</v>
      </c>
      <c r="C139" s="3"/>
      <c r="D139" s="3"/>
      <c r="E139" s="3"/>
      <c r="F139" s="3"/>
      <c r="G139" s="31"/>
      <c r="H139" s="36"/>
    </row>
    <row r="140" spans="1:8" x14ac:dyDescent="0.25">
      <c r="A140" s="7" t="s">
        <v>20</v>
      </c>
      <c r="B140" s="1" t="s">
        <v>32</v>
      </c>
      <c r="C140" s="3"/>
      <c r="D140" s="3"/>
      <c r="E140" s="3"/>
      <c r="F140" s="3"/>
      <c r="G140" s="31"/>
      <c r="H140" s="36"/>
    </row>
    <row r="141" spans="1:8" x14ac:dyDescent="0.25">
      <c r="A141" s="15">
        <v>4</v>
      </c>
      <c r="B141" s="16" t="s">
        <v>46</v>
      </c>
      <c r="C141" s="17">
        <f t="shared" ref="C141:D141" si="85">C142</f>
        <v>0</v>
      </c>
      <c r="D141" s="17">
        <f t="shared" si="85"/>
        <v>0</v>
      </c>
      <c r="E141" s="17">
        <f>E142</f>
        <v>0</v>
      </c>
      <c r="F141" s="17">
        <f t="shared" ref="F141:G141" si="86">F142</f>
        <v>0</v>
      </c>
      <c r="G141" s="35">
        <f t="shared" si="86"/>
        <v>0</v>
      </c>
      <c r="H141" s="36"/>
    </row>
    <row r="142" spans="1:8" x14ac:dyDescent="0.25">
      <c r="A142" s="7" t="s">
        <v>19</v>
      </c>
      <c r="B142" s="1" t="s">
        <v>29</v>
      </c>
      <c r="C142" s="3"/>
      <c r="D142" s="3"/>
      <c r="E142" s="3"/>
      <c r="F142" s="3"/>
      <c r="G142" s="31"/>
      <c r="H142" s="36"/>
    </row>
    <row r="143" spans="1:8" x14ac:dyDescent="0.25">
      <c r="A143" s="15" t="s">
        <v>37</v>
      </c>
      <c r="B143" s="16" t="s">
        <v>38</v>
      </c>
      <c r="C143" s="17">
        <f t="shared" ref="C143:D143" si="87">C144+C150</f>
        <v>0</v>
      </c>
      <c r="D143" s="17">
        <f t="shared" si="87"/>
        <v>0</v>
      </c>
      <c r="E143" s="17">
        <f>E144+E150</f>
        <v>17237</v>
      </c>
      <c r="F143" s="17">
        <f t="shared" ref="F143:G143" si="88">F144+F150</f>
        <v>0</v>
      </c>
      <c r="G143" s="35">
        <f t="shared" si="88"/>
        <v>0</v>
      </c>
      <c r="H143" s="36">
        <f>E143/E16%</f>
        <v>0.17327337808397864</v>
      </c>
    </row>
    <row r="144" spans="1:8" x14ac:dyDescent="0.25">
      <c r="A144" s="15">
        <v>3</v>
      </c>
      <c r="B144" s="16" t="s">
        <v>44</v>
      </c>
      <c r="C144" s="17">
        <f t="shared" ref="C144:D144" si="89">SUM(C145:C149)</f>
        <v>0</v>
      </c>
      <c r="D144" s="17">
        <f t="shared" si="89"/>
        <v>0</v>
      </c>
      <c r="E144" s="17">
        <f>SUM(E145:E149)</f>
        <v>17237</v>
      </c>
      <c r="F144" s="17">
        <f t="shared" ref="F144:G144" si="90">SUM(F145:F149)</f>
        <v>0</v>
      </c>
      <c r="G144" s="35">
        <f t="shared" si="90"/>
        <v>0</v>
      </c>
      <c r="H144" s="36"/>
    </row>
    <row r="145" spans="1:8" x14ac:dyDescent="0.25">
      <c r="A145" s="7" t="s">
        <v>8</v>
      </c>
      <c r="B145" s="1" t="s">
        <v>26</v>
      </c>
      <c r="C145" s="3"/>
      <c r="D145" s="3"/>
      <c r="E145" s="3"/>
      <c r="F145" s="3"/>
      <c r="G145" s="31"/>
      <c r="H145" s="36"/>
    </row>
    <row r="146" spans="1:8" x14ac:dyDescent="0.25">
      <c r="A146" s="7" t="s">
        <v>15</v>
      </c>
      <c r="B146" s="1" t="s">
        <v>25</v>
      </c>
      <c r="C146" s="3"/>
      <c r="D146" s="3"/>
      <c r="E146" s="3">
        <v>17237</v>
      </c>
      <c r="F146" s="3"/>
      <c r="G146" s="31"/>
      <c r="H146" s="36"/>
    </row>
    <row r="147" spans="1:8" x14ac:dyDescent="0.25">
      <c r="A147" s="7" t="s">
        <v>23</v>
      </c>
      <c r="B147" s="1" t="s">
        <v>33</v>
      </c>
      <c r="C147" s="3"/>
      <c r="D147" s="3"/>
      <c r="E147" s="3"/>
      <c r="F147" s="3"/>
      <c r="G147" s="31"/>
      <c r="H147" s="36"/>
    </row>
    <row r="148" spans="1:8" x14ac:dyDescent="0.25">
      <c r="A148" s="7" t="s">
        <v>22</v>
      </c>
      <c r="B148" s="1" t="s">
        <v>31</v>
      </c>
      <c r="C148" s="3"/>
      <c r="D148" s="3"/>
      <c r="E148" s="3"/>
      <c r="F148" s="3"/>
      <c r="G148" s="31"/>
      <c r="H148" s="36"/>
    </row>
    <row r="149" spans="1:8" x14ac:dyDescent="0.25">
      <c r="A149" s="7" t="s">
        <v>20</v>
      </c>
      <c r="B149" s="1" t="s">
        <v>32</v>
      </c>
      <c r="C149" s="3"/>
      <c r="D149" s="3"/>
      <c r="E149" s="3"/>
      <c r="F149" s="3"/>
      <c r="G149" s="31"/>
      <c r="H149" s="36"/>
    </row>
    <row r="150" spans="1:8" x14ac:dyDescent="0.25">
      <c r="A150" s="15">
        <v>4</v>
      </c>
      <c r="B150" s="16" t="s">
        <v>46</v>
      </c>
      <c r="C150" s="17">
        <f t="shared" ref="C150:D150" si="91">C151</f>
        <v>0</v>
      </c>
      <c r="D150" s="17">
        <f t="shared" si="91"/>
        <v>0</v>
      </c>
      <c r="E150" s="17">
        <f>E151</f>
        <v>0</v>
      </c>
      <c r="F150" s="17">
        <f t="shared" ref="F150:G150" si="92">F151</f>
        <v>0</v>
      </c>
      <c r="G150" s="35">
        <f t="shared" si="92"/>
        <v>0</v>
      </c>
      <c r="H150" s="36"/>
    </row>
    <row r="151" spans="1:8" x14ac:dyDescent="0.25">
      <c r="A151" s="7" t="s">
        <v>19</v>
      </c>
      <c r="B151" s="1" t="s">
        <v>29</v>
      </c>
      <c r="C151" s="3"/>
      <c r="D151" s="3"/>
      <c r="E151" s="3"/>
      <c r="F151" s="3"/>
      <c r="G151" s="31"/>
      <c r="H151" s="36"/>
    </row>
  </sheetData>
  <dataValidations count="1">
    <dataValidation type="whole" allowBlank="1" showInputMessage="1" showErrorMessage="1" errorTitle="GREŠKA" error="U ovo polje je dozvoljen unos samo brojčanih vrijednosti (bez decimala!)" sqref="E7:G7" xr:uid="{84620BBF-56C7-4C1C-A99C-88F1F339F4DD}">
      <formula1>0</formula1>
      <formula2>10000000000</formula2>
    </dataValidation>
  </dataValidation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PREDLOŽAK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Tomislav Milat</cp:lastModifiedBy>
  <cp:lastPrinted>2023-09-25T18:48:39Z</cp:lastPrinted>
  <dcterms:created xsi:type="dcterms:W3CDTF">2022-10-31T10:11:38Z</dcterms:created>
  <dcterms:modified xsi:type="dcterms:W3CDTF">2025-11-07T15:03:13Z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